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tabRatio="843" activeTab="2"/>
  </bookViews>
  <sheets>
    <sheet name="SMAW-SMAW" sheetId="1" r:id="rId1"/>
    <sheet name="GTAW-SMAW" sheetId="2" r:id="rId2"/>
    <sheet name="GTAW-GTAW" sheetId="3" r:id="rId3"/>
    <sheet name="Man-Hours Tig-Arc (2)" sheetId="4" state="hidden" r:id="rId4"/>
    <sheet name="Sheet1" sheetId="5" r:id="rId5"/>
  </sheets>
  <definedNames>
    <definedName name="\p">#N/A</definedName>
    <definedName name="_xlnm.Print_Area" localSheetId="3">'Man-Hours Tig-Arc (2)'!$A:$IV</definedName>
    <definedName name="Ref_Electrode">#REF!</definedName>
    <definedName name="Results">#REF!</definedName>
    <definedName name="_xlnm.Print_Titles" localSheetId="2">'GTAW-GTAW'!$13:$17</definedName>
    <definedName name="_xlnm.Print_Titles" localSheetId="1">'GTAW-SMAW'!$13:$17</definedName>
    <definedName name="_xlnm.Print_Titles" localSheetId="0">'SMAW-SMAW'!$13:$17</definedName>
  </definedNames>
  <calcPr fullCalcOnLoad="1"/>
</workbook>
</file>

<file path=xl/sharedStrings.xml><?xml version="1.0" encoding="utf-8"?>
<sst xmlns="http://schemas.openxmlformats.org/spreadsheetml/2006/main" count="1200" uniqueCount="103">
  <si>
    <t>Inches</t>
  </si>
  <si>
    <t>mm</t>
  </si>
  <si>
    <t>a</t>
  </si>
  <si>
    <t>b</t>
  </si>
  <si>
    <t>h</t>
  </si>
  <si>
    <t>TIG Wire</t>
  </si>
  <si>
    <t>Pipe O.D</t>
  </si>
  <si>
    <t xml:space="preserve">Wall=T  </t>
  </si>
  <si>
    <t>Sr.</t>
  </si>
  <si>
    <t>No.</t>
  </si>
  <si>
    <t>Weight of Electrode  Kg. Per  Joint</t>
  </si>
  <si>
    <t xml:space="preserve">Root Pass </t>
  </si>
  <si>
    <t>Other Pa-</t>
  </si>
  <si>
    <t xml:space="preserve">sses Arc </t>
  </si>
  <si>
    <t>AREA3</t>
  </si>
  <si>
    <t>C1</t>
  </si>
  <si>
    <t>C2</t>
  </si>
  <si>
    <t>ax(T-b)</t>
  </si>
  <si>
    <t xml:space="preserve">AREA4 </t>
  </si>
  <si>
    <t>AREA  5</t>
  </si>
  <si>
    <t xml:space="preserve">     C1</t>
  </si>
  <si>
    <t>+C2x(T-19)</t>
  </si>
  <si>
    <t>C1x(T-19)x2</t>
  </si>
  <si>
    <r>
      <t>mm</t>
    </r>
    <r>
      <rPr>
        <vertAlign val="superscript"/>
        <sz val="8"/>
        <rFont val="Arial"/>
        <family val="2"/>
      </rPr>
      <t>2</t>
    </r>
  </si>
  <si>
    <t>PROCESS</t>
  </si>
  <si>
    <t>OTHER PASSES</t>
  </si>
  <si>
    <t>SMAW</t>
  </si>
  <si>
    <t>ROOT  PASS GTAW=1</t>
  </si>
  <si>
    <t>BEVEL ANGLE  ß°</t>
  </si>
  <si>
    <t>Angle  ß°</t>
  </si>
  <si>
    <t>Pipe Ø</t>
  </si>
  <si>
    <t>BEVEL ANGLE  ð°</t>
  </si>
  <si>
    <t>Angle ð°</t>
  </si>
  <si>
    <t>Calculation By MNJ</t>
  </si>
  <si>
    <t>T1</t>
  </si>
  <si>
    <t>a*(b*1.5)</t>
  </si>
  <si>
    <t>(T-b)xC1</t>
  </si>
  <si>
    <t>(5+2(C1+</t>
  </si>
  <si>
    <t>C2)+a)*h</t>
  </si>
  <si>
    <t xml:space="preserve">      C 1</t>
  </si>
  <si>
    <t>AREA 5</t>
  </si>
  <si>
    <t xml:space="preserve">      b</t>
  </si>
  <si>
    <t>T &gt; 19 mm</t>
  </si>
  <si>
    <t>T &lt;= 19 mm</t>
  </si>
  <si>
    <t>WELDING  ELECTRODE  CALCULATION  FOR  PIPES  BY  TRIGONOMETRIC  METHOD</t>
  </si>
  <si>
    <t>Weight</t>
  </si>
  <si>
    <t>Per</t>
  </si>
  <si>
    <t>Meter</t>
  </si>
  <si>
    <t>tan(ß°)</t>
  </si>
  <si>
    <t>tan(ð°)</t>
  </si>
  <si>
    <t>(T1-b)x</t>
  </si>
  <si>
    <t>(T-T1)x</t>
  </si>
  <si>
    <t>Note:</t>
  </si>
  <si>
    <r>
      <t xml:space="preserve">You may change  cells  in </t>
    </r>
    <r>
      <rPr>
        <sz val="10"/>
        <color indexed="17"/>
        <rFont val="Arial"/>
        <family val="2"/>
      </rPr>
      <t>GREEN  COLOUR  LETTERS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to get   the result accordingly</t>
    </r>
    <r>
      <rPr>
        <sz val="10"/>
        <color indexed="10"/>
        <rFont val="Arial"/>
        <family val="2"/>
      </rPr>
      <t xml:space="preserve">  </t>
    </r>
  </si>
  <si>
    <r>
      <t xml:space="preserve">Please do not change  cells  in </t>
    </r>
    <r>
      <rPr>
        <sz val="10"/>
        <color indexed="10"/>
        <rFont val="Arial"/>
        <family val="2"/>
      </rPr>
      <t xml:space="preserve">RED COLOUR  LETTER </t>
    </r>
  </si>
  <si>
    <t>Arc</t>
  </si>
  <si>
    <t>Total</t>
  </si>
  <si>
    <t>X-Area 2-5</t>
  </si>
  <si>
    <t>X-Area 1</t>
  </si>
  <si>
    <t>X-Area  2</t>
  </si>
  <si>
    <t>X-Area 3</t>
  </si>
  <si>
    <t>X-Area 4</t>
  </si>
  <si>
    <t>X-Area 5</t>
  </si>
  <si>
    <t>Hrs/Joint</t>
  </si>
  <si>
    <t>Root Pss</t>
  </si>
  <si>
    <t xml:space="preserve"> PIPING   WORK  MAN-HOURS  ESTIMATION  ERECTION WORK EXCLUDING WELDING WORK</t>
  </si>
  <si>
    <t>Joint</t>
  </si>
  <si>
    <t>Distance</t>
  </si>
  <si>
    <t>Man-Hours</t>
  </si>
  <si>
    <t xml:space="preserve">Per </t>
  </si>
  <si>
    <t>Ton</t>
  </si>
  <si>
    <t xml:space="preserve">No. of </t>
  </si>
  <si>
    <t xml:space="preserve"> Meter</t>
  </si>
  <si>
    <t>Joint Per</t>
  </si>
  <si>
    <t>Dia-</t>
  </si>
  <si>
    <t>Factor</t>
  </si>
  <si>
    <t>Per Joint</t>
  </si>
  <si>
    <t>Egde-Prep</t>
  </si>
  <si>
    <t>Angle ß°</t>
  </si>
  <si>
    <t>NO.</t>
  </si>
  <si>
    <t>SCH.</t>
  </si>
  <si>
    <t>SCH  05S</t>
  </si>
  <si>
    <t>EXT STRONG</t>
  </si>
  <si>
    <t>D EXT STRG</t>
  </si>
  <si>
    <t>SCH.  10S</t>
  </si>
  <si>
    <t>SCH. 40S</t>
  </si>
  <si>
    <t>SCH. STD.</t>
  </si>
  <si>
    <t>SCH. 40</t>
  </si>
  <si>
    <t>SCH. 80S</t>
  </si>
  <si>
    <t>SCH. 80</t>
  </si>
  <si>
    <t>SCH. 160</t>
  </si>
  <si>
    <t>SCH. 120</t>
  </si>
  <si>
    <t>SCH.  20</t>
  </si>
  <si>
    <t>SCH.  30</t>
  </si>
  <si>
    <t>SCH. 60</t>
  </si>
  <si>
    <t>SCH. 100</t>
  </si>
  <si>
    <t>SCH. 140</t>
  </si>
  <si>
    <t>SCH.  10</t>
  </si>
  <si>
    <t>TOTAL</t>
  </si>
  <si>
    <t>GTAW</t>
  </si>
  <si>
    <t xml:space="preserve">sses TIG </t>
  </si>
  <si>
    <t xml:space="preserve"> </t>
  </si>
  <si>
    <t>d$6=1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</si>
</sst>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_(* #,##0.0_);_(* \(#,##0.0\);_(* &quot;-&quot;??_);_(@_)"/>
    <numFmt numFmtId="180" formatCode="0.000"/>
    <numFmt numFmtId="181" formatCode="_(* #,##0.000_);_(* \(#,##0.000\);_(* &quot;-&quot;??_);_(@_)"/>
    <numFmt numFmtId="182" formatCode="0.0"/>
    <numFmt numFmtId="183" formatCode="&quot;\&quot;#,##0;[Red]&quot;\&quot;\-#,##0"/>
    <numFmt numFmtId="184" formatCode="_-* #,##0.000_-;\-* #,##0.000_-;_-* &quot;-&quot;???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8"/>
      <color indexed="13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5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5" fontId="4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10" fillId="0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182" fontId="9" fillId="0" borderId="20" xfId="0" applyNumberFormat="1" applyFont="1" applyBorder="1" applyAlignment="1">
      <alignment horizontal="center"/>
    </xf>
    <xf numFmtId="182" fontId="9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180" fontId="9" fillId="0" borderId="24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29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9" xfId="0" applyFont="1" applyBorder="1" applyAlignment="1">
      <alignment/>
    </xf>
    <xf numFmtId="171" fontId="9" fillId="0" borderId="32" xfId="64" applyFont="1" applyFill="1" applyBorder="1" applyAlignment="1">
      <alignment horizontal="center"/>
    </xf>
    <xf numFmtId="171" fontId="9" fillId="0" borderId="33" xfId="64" applyFont="1" applyFill="1" applyBorder="1" applyAlignment="1">
      <alignment horizontal="center"/>
    </xf>
    <xf numFmtId="171" fontId="9" fillId="0" borderId="18" xfId="0" applyNumberFormat="1" applyFont="1" applyFill="1" applyBorder="1" applyAlignment="1">
      <alignment horizontal="center"/>
    </xf>
    <xf numFmtId="181" fontId="9" fillId="0" borderId="24" xfId="0" applyNumberFormat="1" applyFont="1" applyFill="1" applyBorder="1" applyAlignment="1">
      <alignment horizontal="center"/>
    </xf>
    <xf numFmtId="181" fontId="9" fillId="0" borderId="28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182" fontId="9" fillId="0" borderId="34" xfId="0" applyNumberFormat="1" applyFont="1" applyBorder="1" applyAlignment="1">
      <alignment horizontal="center"/>
    </xf>
    <xf numFmtId="171" fontId="9" fillId="0" borderId="35" xfId="64" applyFont="1" applyFill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1" xfId="0" applyFont="1" applyBorder="1" applyAlignment="1">
      <alignment horizontal="centerContinuous"/>
    </xf>
    <xf numFmtId="0" fontId="4" fillId="0" borderId="38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71" fontId="9" fillId="34" borderId="18" xfId="0" applyNumberFormat="1" applyFont="1" applyFill="1" applyBorder="1" applyAlignment="1">
      <alignment horizontal="center"/>
    </xf>
    <xf numFmtId="178" fontId="9" fillId="0" borderId="21" xfId="0" applyNumberFormat="1" applyFont="1" applyFill="1" applyBorder="1" applyAlignment="1">
      <alignment horizontal="center"/>
    </xf>
    <xf numFmtId="178" fontId="9" fillId="0" borderId="20" xfId="0" applyNumberFormat="1" applyFont="1" applyFill="1" applyBorder="1" applyAlignment="1">
      <alignment horizontal="center"/>
    </xf>
    <xf numFmtId="178" fontId="9" fillId="0" borderId="34" xfId="0" applyNumberFormat="1" applyFont="1" applyFill="1" applyBorder="1" applyAlignment="1">
      <alignment horizontal="center"/>
    </xf>
    <xf numFmtId="171" fontId="9" fillId="34" borderId="17" xfId="0" applyNumberFormat="1" applyFont="1" applyFill="1" applyBorder="1" applyAlignment="1">
      <alignment horizontal="center"/>
    </xf>
    <xf numFmtId="171" fontId="9" fillId="34" borderId="27" xfId="0" applyNumberFormat="1" applyFont="1" applyFill="1" applyBorder="1" applyAlignment="1">
      <alignment horizontal="center"/>
    </xf>
    <xf numFmtId="178" fontId="9" fillId="0" borderId="29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171" fontId="9" fillId="0" borderId="21" xfId="64" applyFont="1" applyFill="1" applyBorder="1" applyAlignment="1">
      <alignment horizontal="center"/>
    </xf>
    <xf numFmtId="171" fontId="9" fillId="0" borderId="20" xfId="64" applyFont="1" applyFill="1" applyBorder="1" applyAlignment="1">
      <alignment horizontal="center"/>
    </xf>
    <xf numFmtId="178" fontId="9" fillId="0" borderId="24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179" fontId="9" fillId="0" borderId="21" xfId="64" applyNumberFormat="1" applyFont="1" applyFill="1" applyBorder="1" applyAlignment="1">
      <alignment horizontal="center"/>
    </xf>
    <xf numFmtId="179" fontId="9" fillId="0" borderId="20" xfId="64" applyNumberFormat="1" applyFont="1" applyFill="1" applyBorder="1" applyAlignment="1">
      <alignment horizontal="center"/>
    </xf>
    <xf numFmtId="171" fontId="9" fillId="0" borderId="21" xfId="64" applyNumberFormat="1" applyFont="1" applyFill="1" applyBorder="1" applyAlignment="1">
      <alignment horizontal="center"/>
    </xf>
    <xf numFmtId="171" fontId="9" fillId="0" borderId="20" xfId="64" applyNumberFormat="1" applyFont="1" applyFill="1" applyBorder="1" applyAlignment="1">
      <alignment horizontal="center"/>
    </xf>
    <xf numFmtId="171" fontId="9" fillId="0" borderId="34" xfId="64" applyFont="1" applyFill="1" applyBorder="1" applyAlignment="1">
      <alignment horizontal="center"/>
    </xf>
    <xf numFmtId="179" fontId="9" fillId="0" borderId="34" xfId="64" applyNumberFormat="1" applyFont="1" applyFill="1" applyBorder="1" applyAlignment="1">
      <alignment horizontal="center"/>
    </xf>
    <xf numFmtId="179" fontId="9" fillId="34" borderId="20" xfId="0" applyNumberFormat="1" applyFont="1" applyFill="1" applyBorder="1" applyAlignment="1">
      <alignment horizontal="center"/>
    </xf>
    <xf numFmtId="179" fontId="9" fillId="34" borderId="20" xfId="64" applyNumberFormat="1" applyFont="1" applyFill="1" applyBorder="1" applyAlignment="1">
      <alignment horizontal="center"/>
    </xf>
    <xf numFmtId="179" fontId="9" fillId="34" borderId="21" xfId="64" applyNumberFormat="1" applyFont="1" applyFill="1" applyBorder="1" applyAlignment="1">
      <alignment horizontal="center"/>
    </xf>
    <xf numFmtId="179" fontId="9" fillId="34" borderId="34" xfId="0" applyNumberFormat="1" applyFont="1" applyFill="1" applyBorder="1" applyAlignment="1">
      <alignment horizontal="center"/>
    </xf>
    <xf numFmtId="171" fontId="9" fillId="0" borderId="34" xfId="64" applyNumberFormat="1" applyFont="1" applyFill="1" applyBorder="1" applyAlignment="1">
      <alignment horizontal="center"/>
    </xf>
    <xf numFmtId="181" fontId="9" fillId="0" borderId="21" xfId="64" applyNumberFormat="1" applyFont="1" applyFill="1" applyBorder="1" applyAlignment="1">
      <alignment horizontal="center"/>
    </xf>
    <xf numFmtId="181" fontId="9" fillId="0" borderId="20" xfId="64" applyNumberFormat="1" applyFont="1" applyFill="1" applyBorder="1" applyAlignment="1">
      <alignment horizontal="center"/>
    </xf>
    <xf numFmtId="181" fontId="9" fillId="0" borderId="34" xfId="64" applyNumberFormat="1" applyFont="1" applyFill="1" applyBorder="1" applyAlignment="1">
      <alignment horizontal="center"/>
    </xf>
    <xf numFmtId="171" fontId="9" fillId="34" borderId="21" xfId="64" applyFont="1" applyFill="1" applyBorder="1" applyAlignment="1">
      <alignment horizontal="center"/>
    </xf>
    <xf numFmtId="171" fontId="9" fillId="34" borderId="20" xfId="64" applyFont="1" applyFill="1" applyBorder="1" applyAlignment="1">
      <alignment horizontal="center"/>
    </xf>
    <xf numFmtId="171" fontId="9" fillId="34" borderId="34" xfId="64" applyFont="1" applyFill="1" applyBorder="1" applyAlignment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39" xfId="0" applyFont="1" applyBorder="1" applyAlignment="1">
      <alignment horizontal="center" wrapText="1"/>
    </xf>
    <xf numFmtId="181" fontId="9" fillId="0" borderId="40" xfId="0" applyNumberFormat="1" applyFont="1" applyFill="1" applyBorder="1" applyAlignment="1" applyProtection="1">
      <alignment horizontal="center"/>
      <protection/>
    </xf>
    <xf numFmtId="181" fontId="9" fillId="0" borderId="41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 horizontal="center"/>
    </xf>
    <xf numFmtId="171" fontId="13" fillId="0" borderId="40" xfId="0" applyNumberFormat="1" applyFont="1" applyFill="1" applyBorder="1" applyAlignment="1" applyProtection="1">
      <alignment horizontal="center"/>
      <protection locked="0"/>
    </xf>
    <xf numFmtId="171" fontId="10" fillId="0" borderId="40" xfId="0" applyNumberFormat="1" applyFont="1" applyFill="1" applyBorder="1" applyAlignment="1" applyProtection="1">
      <alignment horizontal="center"/>
      <protection locked="0"/>
    </xf>
    <xf numFmtId="171" fontId="13" fillId="0" borderId="40" xfId="0" applyNumberFormat="1" applyFont="1" applyFill="1" applyBorder="1" applyAlignment="1" applyProtection="1">
      <alignment/>
      <protection locked="0"/>
    </xf>
    <xf numFmtId="171" fontId="9" fillId="0" borderId="40" xfId="0" applyNumberFormat="1" applyFont="1" applyFill="1" applyBorder="1" applyAlignment="1" applyProtection="1">
      <alignment horizontal="center"/>
      <protection/>
    </xf>
    <xf numFmtId="171" fontId="9" fillId="0" borderId="40" xfId="0" applyNumberFormat="1" applyFont="1" applyFill="1" applyBorder="1" applyAlignment="1" applyProtection="1">
      <alignment/>
      <protection/>
    </xf>
    <xf numFmtId="171" fontId="9" fillId="0" borderId="40" xfId="0" applyNumberFormat="1" applyFont="1" applyFill="1" applyBorder="1" applyAlignment="1" applyProtection="1">
      <alignment horizontal="centerContinuous"/>
      <protection/>
    </xf>
    <xf numFmtId="1" fontId="10" fillId="0" borderId="41" xfId="0" applyNumberFormat="1" applyFont="1" applyFill="1" applyBorder="1" applyAlignment="1">
      <alignment horizontal="center"/>
    </xf>
    <xf numFmtId="171" fontId="13" fillId="0" borderId="41" xfId="0" applyNumberFormat="1" applyFont="1" applyFill="1" applyBorder="1" applyAlignment="1" applyProtection="1">
      <alignment horizontal="center"/>
      <protection locked="0"/>
    </xf>
    <xf numFmtId="171" fontId="10" fillId="0" borderId="41" xfId="0" applyNumberFormat="1" applyFont="1" applyFill="1" applyBorder="1" applyAlignment="1" applyProtection="1">
      <alignment horizontal="center"/>
      <protection locked="0"/>
    </xf>
    <xf numFmtId="171" fontId="13" fillId="0" borderId="41" xfId="0" applyNumberFormat="1" applyFont="1" applyFill="1" applyBorder="1" applyAlignment="1" applyProtection="1">
      <alignment/>
      <protection locked="0"/>
    </xf>
    <xf numFmtId="171" fontId="9" fillId="0" borderId="41" xfId="0" applyNumberFormat="1" applyFont="1" applyFill="1" applyBorder="1" applyAlignment="1" applyProtection="1">
      <alignment horizontal="center"/>
      <protection/>
    </xf>
    <xf numFmtId="171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centerContinuous"/>
      <protection/>
    </xf>
    <xf numFmtId="0" fontId="0" fillId="0" borderId="46" xfId="0" applyBorder="1" applyAlignment="1">
      <alignment/>
    </xf>
    <xf numFmtId="181" fontId="9" fillId="0" borderId="40" xfId="64" applyNumberFormat="1" applyFont="1" applyFill="1" applyBorder="1" applyAlignment="1" applyProtection="1">
      <alignment horizontal="center"/>
      <protection/>
    </xf>
    <xf numFmtId="181" fontId="9" fillId="0" borderId="41" xfId="64" applyNumberFormat="1" applyFont="1" applyFill="1" applyBorder="1" applyAlignment="1" applyProtection="1">
      <alignment horizontal="center"/>
      <protection/>
    </xf>
    <xf numFmtId="181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Œ…‹æØ‚è [0.00]_Table5" xfId="50"/>
    <cellStyle name="Œ…‹æØ‚è_Table5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93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048500" y="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19</xdr:col>
      <xdr:colOff>285750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058025" y="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9645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167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167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167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167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0</xdr:row>
      <xdr:rowOff>0</xdr:rowOff>
    </xdr:from>
    <xdr:to>
      <xdr:col>13</xdr:col>
      <xdr:colOff>447675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04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04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9913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0</xdr:row>
      <xdr:rowOff>0</xdr:rowOff>
    </xdr:from>
    <xdr:to>
      <xdr:col>14</xdr:col>
      <xdr:colOff>123825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69818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0</xdr:row>
      <xdr:rowOff>0</xdr:rowOff>
    </xdr:from>
    <xdr:to>
      <xdr:col>14</xdr:col>
      <xdr:colOff>114300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704850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167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167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167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167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1167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167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167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1" name="Freeform 21"/>
        <xdr:cNvSpPr>
          <a:spLocks/>
        </xdr:cNvSpPr>
      </xdr:nvSpPr>
      <xdr:spPr>
        <a:xfrm>
          <a:off x="11677650" y="0"/>
          <a:ext cx="0" cy="0"/>
        </a:xfrm>
        <a:custGeom>
          <a:pathLst>
            <a:path h="7" w="23">
              <a:moveTo>
                <a:pt x="0" y="1"/>
              </a:moveTo>
              <a:cubicBezTo>
                <a:pt x="4" y="0"/>
                <a:pt x="8" y="0"/>
                <a:pt x="12" y="1"/>
              </a:cubicBezTo>
              <a:cubicBezTo>
                <a:pt x="16" y="2"/>
                <a:pt x="21" y="6"/>
                <a:pt x="2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167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95726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1167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247650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658350" y="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43877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55626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</xdr:row>
      <xdr:rowOff>0</xdr:rowOff>
    </xdr:from>
    <xdr:to>
      <xdr:col>6</xdr:col>
      <xdr:colOff>428625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402907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402907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55626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55626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543877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543877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</xdr:row>
      <xdr:rowOff>0</xdr:rowOff>
    </xdr:from>
    <xdr:to>
      <xdr:col>9</xdr:col>
      <xdr:colOff>200025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519112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9525</xdr:rowOff>
    </xdr:from>
    <xdr:to>
      <xdr:col>10</xdr:col>
      <xdr:colOff>0</xdr:colOff>
      <xdr:row>9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5438775" y="1714500"/>
          <a:ext cx="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4029075" y="1790700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</xdr:row>
      <xdr:rowOff>0</xdr:rowOff>
    </xdr:from>
    <xdr:to>
      <xdr:col>9</xdr:col>
      <xdr:colOff>171450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38600" y="638175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>
          <a:off x="4991100" y="1076325"/>
          <a:ext cx="447675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9</xdr:row>
      <xdr:rowOff>0</xdr:rowOff>
    </xdr:to>
    <xdr:sp>
      <xdr:nvSpPr>
        <xdr:cNvPr id="39" name="Line 39"/>
        <xdr:cNvSpPr>
          <a:spLocks/>
        </xdr:cNvSpPr>
      </xdr:nvSpPr>
      <xdr:spPr>
        <a:xfrm>
          <a:off x="5562600" y="1714500"/>
          <a:ext cx="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447675</xdr:colOff>
      <xdr:row>8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5562600" y="1076325"/>
          <a:ext cx="447675" cy="638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5572125" y="638175"/>
          <a:ext cx="147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14</xdr:col>
      <xdr:colOff>0</xdr:colOff>
      <xdr:row>9</xdr:row>
      <xdr:rowOff>0</xdr:rowOff>
    </xdr:to>
    <xdr:sp>
      <xdr:nvSpPr>
        <xdr:cNvPr id="42" name="Line 42"/>
        <xdr:cNvSpPr>
          <a:spLocks/>
        </xdr:cNvSpPr>
      </xdr:nvSpPr>
      <xdr:spPr>
        <a:xfrm>
          <a:off x="5562600" y="179070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9525</xdr:rowOff>
    </xdr:from>
    <xdr:to>
      <xdr:col>7</xdr:col>
      <xdr:colOff>0</xdr:colOff>
      <xdr:row>5</xdr:row>
      <xdr:rowOff>9525</xdr:rowOff>
    </xdr:to>
    <xdr:sp>
      <xdr:nvSpPr>
        <xdr:cNvPr id="43" name="Line 43"/>
        <xdr:cNvSpPr>
          <a:spLocks/>
        </xdr:cNvSpPr>
      </xdr:nvSpPr>
      <xdr:spPr>
        <a:xfrm>
          <a:off x="4029075" y="647700"/>
          <a:ext cx="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9525</xdr:rowOff>
    </xdr:from>
    <xdr:to>
      <xdr:col>7</xdr:col>
      <xdr:colOff>0</xdr:colOff>
      <xdr:row>9</xdr:row>
      <xdr:rowOff>0</xdr:rowOff>
    </xdr:to>
    <xdr:sp>
      <xdr:nvSpPr>
        <xdr:cNvPr id="44" name="Line 44"/>
        <xdr:cNvSpPr>
          <a:spLocks/>
        </xdr:cNvSpPr>
      </xdr:nvSpPr>
      <xdr:spPr>
        <a:xfrm>
          <a:off x="4029075" y="1714500"/>
          <a:ext cx="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7</xdr:row>
      <xdr:rowOff>19050</xdr:rowOff>
    </xdr:from>
    <xdr:to>
      <xdr:col>6</xdr:col>
      <xdr:colOff>419100</xdr:colOff>
      <xdr:row>8</xdr:row>
      <xdr:rowOff>9525</xdr:rowOff>
    </xdr:to>
    <xdr:sp>
      <xdr:nvSpPr>
        <xdr:cNvPr id="45" name="Line 45"/>
        <xdr:cNvSpPr>
          <a:spLocks/>
        </xdr:cNvSpPr>
      </xdr:nvSpPr>
      <xdr:spPr>
        <a:xfrm>
          <a:off x="3819525" y="1514475"/>
          <a:ext cx="200025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5</xdr:row>
      <xdr:rowOff>142875</xdr:rowOff>
    </xdr:from>
    <xdr:to>
      <xdr:col>7</xdr:col>
      <xdr:colOff>180975</xdr:colOff>
      <xdr:row>7</xdr:row>
      <xdr:rowOff>9525</xdr:rowOff>
    </xdr:to>
    <xdr:sp>
      <xdr:nvSpPr>
        <xdr:cNvPr id="46" name="Line 46"/>
        <xdr:cNvSpPr>
          <a:spLocks/>
        </xdr:cNvSpPr>
      </xdr:nvSpPr>
      <xdr:spPr>
        <a:xfrm flipV="1">
          <a:off x="3819525" y="1219200"/>
          <a:ext cx="39052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161925</xdr:colOff>
      <xdr:row>5</xdr:row>
      <xdr:rowOff>142875</xdr:rowOff>
    </xdr:to>
    <xdr:sp>
      <xdr:nvSpPr>
        <xdr:cNvPr id="47" name="Line 47"/>
        <xdr:cNvSpPr>
          <a:spLocks/>
        </xdr:cNvSpPr>
      </xdr:nvSpPr>
      <xdr:spPr>
        <a:xfrm flipH="1" flipV="1">
          <a:off x="4029075" y="1076325"/>
          <a:ext cx="161925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4</xdr:row>
      <xdr:rowOff>9525</xdr:rowOff>
    </xdr:from>
    <xdr:to>
      <xdr:col>13</xdr:col>
      <xdr:colOff>523875</xdr:colOff>
      <xdr:row>5</xdr:row>
      <xdr:rowOff>9525</xdr:rowOff>
    </xdr:to>
    <xdr:sp>
      <xdr:nvSpPr>
        <xdr:cNvPr id="48" name="Line 48"/>
        <xdr:cNvSpPr>
          <a:spLocks/>
        </xdr:cNvSpPr>
      </xdr:nvSpPr>
      <xdr:spPr>
        <a:xfrm>
          <a:off x="7048500" y="647700"/>
          <a:ext cx="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8</xdr:row>
      <xdr:rowOff>76200</xdr:rowOff>
    </xdr:to>
    <xdr:sp>
      <xdr:nvSpPr>
        <xdr:cNvPr id="49" name="Line 49"/>
        <xdr:cNvSpPr>
          <a:spLocks/>
        </xdr:cNvSpPr>
      </xdr:nvSpPr>
      <xdr:spPr>
        <a:xfrm flipH="1">
          <a:off x="7048500" y="1704975"/>
          <a:ext cx="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7</xdr:row>
      <xdr:rowOff>9525</xdr:rowOff>
    </xdr:from>
    <xdr:to>
      <xdr:col>14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>
          <a:off x="6896100" y="1504950"/>
          <a:ext cx="15240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5</xdr:row>
      <xdr:rowOff>104775</xdr:rowOff>
    </xdr:from>
    <xdr:to>
      <xdr:col>14</xdr:col>
      <xdr:colOff>180975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6886575" y="1181100"/>
          <a:ext cx="34290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171450</xdr:colOff>
      <xdr:row>5</xdr:row>
      <xdr:rowOff>114300</xdr:rowOff>
    </xdr:to>
    <xdr:sp>
      <xdr:nvSpPr>
        <xdr:cNvPr id="52" name="Line 52"/>
        <xdr:cNvSpPr>
          <a:spLocks/>
        </xdr:cNvSpPr>
      </xdr:nvSpPr>
      <xdr:spPr>
        <a:xfrm flipH="1" flipV="1">
          <a:off x="7048500" y="1076325"/>
          <a:ext cx="1714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28575</xdr:rowOff>
    </xdr:from>
    <xdr:to>
      <xdr:col>11</xdr:col>
      <xdr:colOff>0</xdr:colOff>
      <xdr:row>7</xdr:row>
      <xdr:rowOff>57150</xdr:rowOff>
    </xdr:to>
    <xdr:sp>
      <xdr:nvSpPr>
        <xdr:cNvPr id="53" name="Line 53"/>
        <xdr:cNvSpPr>
          <a:spLocks/>
        </xdr:cNvSpPr>
      </xdr:nvSpPr>
      <xdr:spPr>
        <a:xfrm>
          <a:off x="5562600" y="390525"/>
          <a:ext cx="0" cy="11620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</xdr:row>
      <xdr:rowOff>0</xdr:rowOff>
    </xdr:from>
    <xdr:to>
      <xdr:col>12</xdr:col>
      <xdr:colOff>333375</xdr:colOff>
      <xdr:row>3</xdr:row>
      <xdr:rowOff>104775</xdr:rowOff>
    </xdr:to>
    <xdr:sp>
      <xdr:nvSpPr>
        <xdr:cNvPr id="54" name="Line 54"/>
        <xdr:cNvSpPr>
          <a:spLocks/>
        </xdr:cNvSpPr>
      </xdr:nvSpPr>
      <xdr:spPr>
        <a:xfrm flipV="1">
          <a:off x="6172200" y="200025"/>
          <a:ext cx="1714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5</xdr:row>
      <xdr:rowOff>95250</xdr:rowOff>
    </xdr:from>
    <xdr:to>
      <xdr:col>11</xdr:col>
      <xdr:colOff>333375</xdr:colOff>
      <xdr:row>5</xdr:row>
      <xdr:rowOff>161925</xdr:rowOff>
    </xdr:to>
    <xdr:sp>
      <xdr:nvSpPr>
        <xdr:cNvPr id="55" name="Freeform 55"/>
        <xdr:cNvSpPr>
          <a:spLocks/>
        </xdr:cNvSpPr>
      </xdr:nvSpPr>
      <xdr:spPr>
        <a:xfrm>
          <a:off x="5572125" y="1171575"/>
          <a:ext cx="323850" cy="66675"/>
        </a:xfrm>
        <a:custGeom>
          <a:pathLst>
            <a:path h="7" w="23">
              <a:moveTo>
                <a:pt x="0" y="1"/>
              </a:moveTo>
              <a:cubicBezTo>
                <a:pt x="4" y="0"/>
                <a:pt x="8" y="0"/>
                <a:pt x="12" y="1"/>
              </a:cubicBezTo>
              <a:cubicBezTo>
                <a:pt x="16" y="2"/>
                <a:pt x="21" y="6"/>
                <a:pt x="23" y="7"/>
              </a:cubicBez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6" name="Line 56"/>
        <xdr:cNvSpPr>
          <a:spLocks/>
        </xdr:cNvSpPr>
      </xdr:nvSpPr>
      <xdr:spPr>
        <a:xfrm>
          <a:off x="5286375" y="1952625"/>
          <a:ext cx="1524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219075</xdr:colOff>
      <xdr:row>10</xdr:row>
      <xdr:rowOff>0</xdr:rowOff>
    </xdr:to>
    <xdr:sp>
      <xdr:nvSpPr>
        <xdr:cNvPr id="57" name="Line 57"/>
        <xdr:cNvSpPr>
          <a:spLocks/>
        </xdr:cNvSpPr>
      </xdr:nvSpPr>
      <xdr:spPr>
        <a:xfrm>
          <a:off x="5562600" y="1952625"/>
          <a:ext cx="2190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8</xdr:row>
      <xdr:rowOff>0</xdr:rowOff>
    </xdr:from>
    <xdr:to>
      <xdr:col>13</xdr:col>
      <xdr:colOff>200025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>
          <a:off x="5695950" y="170497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7</xdr:row>
      <xdr:rowOff>0</xdr:rowOff>
    </xdr:from>
    <xdr:to>
      <xdr:col>12</xdr:col>
      <xdr:colOff>114300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>
          <a:off x="6124575" y="14954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9</xdr:row>
      <xdr:rowOff>9525</xdr:rowOff>
    </xdr:from>
    <xdr:to>
      <xdr:col>12</xdr:col>
      <xdr:colOff>114300</xdr:colOff>
      <xdr:row>10</xdr:row>
      <xdr:rowOff>28575</xdr:rowOff>
    </xdr:to>
    <xdr:sp>
      <xdr:nvSpPr>
        <xdr:cNvPr id="60" name="Line 60"/>
        <xdr:cNvSpPr>
          <a:spLocks/>
        </xdr:cNvSpPr>
      </xdr:nvSpPr>
      <xdr:spPr>
        <a:xfrm>
          <a:off x="6124575" y="18002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</xdr:row>
      <xdr:rowOff>0</xdr:rowOff>
    </xdr:from>
    <xdr:to>
      <xdr:col>8</xdr:col>
      <xdr:colOff>333375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4695825" y="523875"/>
          <a:ext cx="11430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3</xdr:row>
      <xdr:rowOff>0</xdr:rowOff>
    </xdr:from>
    <xdr:to>
      <xdr:col>12</xdr:col>
      <xdr:colOff>314325</xdr:colOff>
      <xdr:row>3</xdr:row>
      <xdr:rowOff>104775</xdr:rowOff>
    </xdr:to>
    <xdr:sp>
      <xdr:nvSpPr>
        <xdr:cNvPr id="62" name="Line 62"/>
        <xdr:cNvSpPr>
          <a:spLocks/>
        </xdr:cNvSpPr>
      </xdr:nvSpPr>
      <xdr:spPr>
        <a:xfrm flipH="1" flipV="1">
          <a:off x="6219825" y="523875"/>
          <a:ext cx="104775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3</xdr:row>
      <xdr:rowOff>0</xdr:rowOff>
    </xdr:from>
    <xdr:to>
      <xdr:col>13</xdr:col>
      <xdr:colOff>247650</xdr:colOff>
      <xdr:row>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4695825" y="523875"/>
          <a:ext cx="2076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9</xdr:row>
      <xdr:rowOff>0</xdr:rowOff>
    </xdr:to>
    <xdr:sp>
      <xdr:nvSpPr>
        <xdr:cNvPr id="64" name="Line 64"/>
        <xdr:cNvSpPr>
          <a:spLocks/>
        </xdr:cNvSpPr>
      </xdr:nvSpPr>
      <xdr:spPr>
        <a:xfrm>
          <a:off x="6524625" y="638175"/>
          <a:ext cx="0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76200</xdr:rowOff>
    </xdr:from>
    <xdr:to>
      <xdr:col>11</xdr:col>
      <xdr:colOff>0</xdr:colOff>
      <xdr:row>10</xdr:row>
      <xdr:rowOff>142875</xdr:rowOff>
    </xdr:to>
    <xdr:sp>
      <xdr:nvSpPr>
        <xdr:cNvPr id="65" name="Line 65"/>
        <xdr:cNvSpPr>
          <a:spLocks/>
        </xdr:cNvSpPr>
      </xdr:nvSpPr>
      <xdr:spPr>
        <a:xfrm>
          <a:off x="5562600" y="1866900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76200</xdr:rowOff>
    </xdr:from>
    <xdr:to>
      <xdr:col>10</xdr:col>
      <xdr:colOff>0</xdr:colOff>
      <xdr:row>10</xdr:row>
      <xdr:rowOff>142875</xdr:rowOff>
    </xdr:to>
    <xdr:sp>
      <xdr:nvSpPr>
        <xdr:cNvPr id="66" name="Line 66"/>
        <xdr:cNvSpPr>
          <a:spLocks/>
        </xdr:cNvSpPr>
      </xdr:nvSpPr>
      <xdr:spPr>
        <a:xfrm>
          <a:off x="5438775" y="1866900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3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5438775" y="2000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2</xdr:row>
      <xdr:rowOff>152400</xdr:rowOff>
    </xdr:to>
    <xdr:sp>
      <xdr:nvSpPr>
        <xdr:cNvPr id="68" name="Line 68"/>
        <xdr:cNvSpPr>
          <a:spLocks/>
        </xdr:cNvSpPr>
      </xdr:nvSpPr>
      <xdr:spPr>
        <a:xfrm flipV="1">
          <a:off x="4991100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</xdr:row>
      <xdr:rowOff>85725</xdr:rowOff>
    </xdr:from>
    <xdr:to>
      <xdr:col>8</xdr:col>
      <xdr:colOff>504825</xdr:colOff>
      <xdr:row>1</xdr:row>
      <xdr:rowOff>85725</xdr:rowOff>
    </xdr:to>
    <xdr:sp>
      <xdr:nvSpPr>
        <xdr:cNvPr id="69" name="Line 69"/>
        <xdr:cNvSpPr>
          <a:spLocks/>
        </xdr:cNvSpPr>
      </xdr:nvSpPr>
      <xdr:spPr>
        <a:xfrm flipH="1">
          <a:off x="4724400" y="28575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11</xdr:col>
      <xdr:colOff>76200</xdr:colOff>
      <xdr:row>1</xdr:row>
      <xdr:rowOff>85725</xdr:rowOff>
    </xdr:to>
    <xdr:sp>
      <xdr:nvSpPr>
        <xdr:cNvPr id="70" name="Line 70"/>
        <xdr:cNvSpPr>
          <a:spLocks/>
        </xdr:cNvSpPr>
      </xdr:nvSpPr>
      <xdr:spPr>
        <a:xfrm>
          <a:off x="5438775" y="28575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2</xdr:row>
      <xdr:rowOff>19050</xdr:rowOff>
    </xdr:from>
    <xdr:to>
      <xdr:col>13</xdr:col>
      <xdr:colOff>295275</xdr:colOff>
      <xdr:row>2</xdr:row>
      <xdr:rowOff>152400</xdr:rowOff>
    </xdr:to>
    <xdr:sp>
      <xdr:nvSpPr>
        <xdr:cNvPr id="71" name="Line 71"/>
        <xdr:cNvSpPr>
          <a:spLocks/>
        </xdr:cNvSpPr>
      </xdr:nvSpPr>
      <xdr:spPr>
        <a:xfrm>
          <a:off x="6819900" y="38100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4</xdr:row>
      <xdr:rowOff>0</xdr:rowOff>
    </xdr:from>
    <xdr:to>
      <xdr:col>13</xdr:col>
      <xdr:colOff>295275</xdr:colOff>
      <xdr:row>4</xdr:row>
      <xdr:rowOff>180975</xdr:rowOff>
    </xdr:to>
    <xdr:sp>
      <xdr:nvSpPr>
        <xdr:cNvPr id="72" name="Line 72"/>
        <xdr:cNvSpPr>
          <a:spLocks/>
        </xdr:cNvSpPr>
      </xdr:nvSpPr>
      <xdr:spPr>
        <a:xfrm>
          <a:off x="6819900" y="6381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3" name="Line 73"/>
        <xdr:cNvSpPr>
          <a:spLocks/>
        </xdr:cNvSpPr>
      </xdr:nvSpPr>
      <xdr:spPr>
        <a:xfrm>
          <a:off x="5172075" y="63817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9525</xdr:rowOff>
    </xdr:from>
    <xdr:to>
      <xdr:col>11</xdr:col>
      <xdr:colOff>0</xdr:colOff>
      <xdr:row>9</xdr:row>
      <xdr:rowOff>38100</xdr:rowOff>
    </xdr:to>
    <xdr:sp>
      <xdr:nvSpPr>
        <xdr:cNvPr id="74" name="Arc 74"/>
        <xdr:cNvSpPr>
          <a:spLocks/>
        </xdr:cNvSpPr>
      </xdr:nvSpPr>
      <xdr:spPr>
        <a:xfrm flipV="1">
          <a:off x="5438775" y="1800225"/>
          <a:ext cx="123825" cy="28575"/>
        </a:xfrm>
        <a:custGeom>
          <a:pathLst>
            <a:path fill="none" h="21600" w="43200">
              <a:moveTo>
                <a:pt x="0" y="21600"/>
              </a:moveTo>
              <a:cubicBezTo>
                <a:pt x="0" y="9670"/>
                <a:pt x="9670" y="0"/>
                <a:pt x="21600" y="0"/>
              </a:cubicBezTo>
              <a:cubicBezTo>
                <a:pt x="-32007" y="0"/>
                <a:pt x="-22336" y="9670"/>
                <a:pt x="-22336" y="21600"/>
              </a:cubicBezTo>
            </a:path>
            <a:path stroke="0" h="21600" w="43200">
              <a:moveTo>
                <a:pt x="0" y="21600"/>
              </a:moveTo>
              <a:cubicBezTo>
                <a:pt x="0" y="9670"/>
                <a:pt x="9670" y="0"/>
                <a:pt x="21600" y="0"/>
              </a:cubicBezTo>
              <a:cubicBezTo>
                <a:pt x="-32007" y="0"/>
                <a:pt x="-22336" y="9670"/>
                <a:pt x="-22336" y="21600"/>
              </a:cubicBez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66675</xdr:colOff>
      <xdr:row>3</xdr:row>
      <xdr:rowOff>0</xdr:rowOff>
    </xdr:to>
    <xdr:sp>
      <xdr:nvSpPr>
        <xdr:cNvPr id="75" name="Line 75"/>
        <xdr:cNvSpPr>
          <a:spLocks/>
        </xdr:cNvSpPr>
      </xdr:nvSpPr>
      <xdr:spPr>
        <a:xfrm>
          <a:off x="6524625" y="52387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4</xdr:row>
      <xdr:rowOff>0</xdr:rowOff>
    </xdr:from>
    <xdr:to>
      <xdr:col>9</xdr:col>
      <xdr:colOff>0</xdr:colOff>
      <xdr:row>5</xdr:row>
      <xdr:rowOff>9525</xdr:rowOff>
    </xdr:to>
    <xdr:sp>
      <xdr:nvSpPr>
        <xdr:cNvPr id="76" name="Line 77"/>
        <xdr:cNvSpPr>
          <a:spLocks/>
        </xdr:cNvSpPr>
      </xdr:nvSpPr>
      <xdr:spPr>
        <a:xfrm flipH="1" flipV="1">
          <a:off x="4838700" y="638175"/>
          <a:ext cx="152400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9525</xdr:rowOff>
    </xdr:from>
    <xdr:to>
      <xdr:col>12</xdr:col>
      <xdr:colOff>152400</xdr:colOff>
      <xdr:row>5</xdr:row>
      <xdr:rowOff>0</xdr:rowOff>
    </xdr:to>
    <xdr:sp>
      <xdr:nvSpPr>
        <xdr:cNvPr id="77" name="Line 78"/>
        <xdr:cNvSpPr>
          <a:spLocks/>
        </xdr:cNvSpPr>
      </xdr:nvSpPr>
      <xdr:spPr>
        <a:xfrm flipV="1">
          <a:off x="6010275" y="647700"/>
          <a:ext cx="152400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78" name="Line 81"/>
        <xdr:cNvSpPr>
          <a:spLocks/>
        </xdr:cNvSpPr>
      </xdr:nvSpPr>
      <xdr:spPr>
        <a:xfrm>
          <a:off x="5000625" y="1076325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</xdr:row>
      <xdr:rowOff>28575</xdr:rowOff>
    </xdr:from>
    <xdr:to>
      <xdr:col>12</xdr:col>
      <xdr:colOff>381000</xdr:colOff>
      <xdr:row>5</xdr:row>
      <xdr:rowOff>0</xdr:rowOff>
    </xdr:to>
    <xdr:sp>
      <xdr:nvSpPr>
        <xdr:cNvPr id="79" name="Line 83"/>
        <xdr:cNvSpPr>
          <a:spLocks/>
        </xdr:cNvSpPr>
      </xdr:nvSpPr>
      <xdr:spPr>
        <a:xfrm flipV="1">
          <a:off x="6019800" y="552450"/>
          <a:ext cx="371475" cy="5238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1</xdr:row>
      <xdr:rowOff>47625</xdr:rowOff>
    </xdr:from>
    <xdr:to>
      <xdr:col>11</xdr:col>
      <xdr:colOff>447675</xdr:colOff>
      <xdr:row>4</xdr:row>
      <xdr:rowOff>409575</xdr:rowOff>
    </xdr:to>
    <xdr:sp>
      <xdr:nvSpPr>
        <xdr:cNvPr id="80" name="Line 84"/>
        <xdr:cNvSpPr>
          <a:spLocks/>
        </xdr:cNvSpPr>
      </xdr:nvSpPr>
      <xdr:spPr>
        <a:xfrm flipV="1">
          <a:off x="6010275" y="247650"/>
          <a:ext cx="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66675</xdr:rowOff>
    </xdr:from>
    <xdr:to>
      <xdr:col>12</xdr:col>
      <xdr:colOff>219075</xdr:colOff>
      <xdr:row>2</xdr:row>
      <xdr:rowOff>114300</xdr:rowOff>
    </xdr:to>
    <xdr:sp>
      <xdr:nvSpPr>
        <xdr:cNvPr id="81" name="Freeform 85"/>
        <xdr:cNvSpPr>
          <a:spLocks/>
        </xdr:cNvSpPr>
      </xdr:nvSpPr>
      <xdr:spPr>
        <a:xfrm>
          <a:off x="6010275" y="428625"/>
          <a:ext cx="219075" cy="47625"/>
        </a:xfrm>
        <a:custGeom>
          <a:pathLst>
            <a:path h="7" w="23">
              <a:moveTo>
                <a:pt x="0" y="1"/>
              </a:moveTo>
              <a:cubicBezTo>
                <a:pt x="4" y="0"/>
                <a:pt x="8" y="0"/>
                <a:pt x="12" y="1"/>
              </a:cubicBezTo>
              <a:cubicBezTo>
                <a:pt x="16" y="2"/>
                <a:pt x="21" y="6"/>
                <a:pt x="23" y="7"/>
              </a:cubicBez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</xdr:row>
      <xdr:rowOff>161925</xdr:rowOff>
    </xdr:from>
    <xdr:to>
      <xdr:col>8</xdr:col>
      <xdr:colOff>352425</xdr:colOff>
      <xdr:row>2</xdr:row>
      <xdr:rowOff>152400</xdr:rowOff>
    </xdr:to>
    <xdr:sp>
      <xdr:nvSpPr>
        <xdr:cNvPr id="82" name="Line 86"/>
        <xdr:cNvSpPr>
          <a:spLocks/>
        </xdr:cNvSpPr>
      </xdr:nvSpPr>
      <xdr:spPr>
        <a:xfrm flipV="1">
          <a:off x="4829175" y="3619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76200</xdr:rowOff>
    </xdr:from>
    <xdr:to>
      <xdr:col>9</xdr:col>
      <xdr:colOff>200025</xdr:colOff>
      <xdr:row>2</xdr:row>
      <xdr:rowOff>76200</xdr:rowOff>
    </xdr:to>
    <xdr:sp>
      <xdr:nvSpPr>
        <xdr:cNvPr id="83" name="Line 87"/>
        <xdr:cNvSpPr>
          <a:spLocks/>
        </xdr:cNvSpPr>
      </xdr:nvSpPr>
      <xdr:spPr>
        <a:xfrm>
          <a:off x="4991100" y="43815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</xdr:row>
      <xdr:rowOff>76200</xdr:rowOff>
    </xdr:from>
    <xdr:to>
      <xdr:col>8</xdr:col>
      <xdr:colOff>352425</xdr:colOff>
      <xdr:row>2</xdr:row>
      <xdr:rowOff>76200</xdr:rowOff>
    </xdr:to>
    <xdr:sp>
      <xdr:nvSpPr>
        <xdr:cNvPr id="84" name="Line 88"/>
        <xdr:cNvSpPr>
          <a:spLocks/>
        </xdr:cNvSpPr>
      </xdr:nvSpPr>
      <xdr:spPr>
        <a:xfrm flipH="1">
          <a:off x="4572000" y="43815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</xdr:row>
      <xdr:rowOff>0</xdr:rowOff>
    </xdr:from>
    <xdr:to>
      <xdr:col>8</xdr:col>
      <xdr:colOff>200025</xdr:colOff>
      <xdr:row>8</xdr:row>
      <xdr:rowOff>66675</xdr:rowOff>
    </xdr:to>
    <xdr:sp>
      <xdr:nvSpPr>
        <xdr:cNvPr id="85" name="Line 89"/>
        <xdr:cNvSpPr>
          <a:spLocks/>
        </xdr:cNvSpPr>
      </xdr:nvSpPr>
      <xdr:spPr>
        <a:xfrm>
          <a:off x="4676775" y="1076325"/>
          <a:ext cx="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0</xdr:rowOff>
    </xdr:from>
    <xdr:to>
      <xdr:col>8</xdr:col>
      <xdr:colOff>457200</xdr:colOff>
      <xdr:row>5</xdr:row>
      <xdr:rowOff>0</xdr:rowOff>
    </xdr:to>
    <xdr:sp>
      <xdr:nvSpPr>
        <xdr:cNvPr id="86" name="Line 91"/>
        <xdr:cNvSpPr>
          <a:spLocks/>
        </xdr:cNvSpPr>
      </xdr:nvSpPr>
      <xdr:spPr>
        <a:xfrm>
          <a:off x="4486275" y="1076325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9525</xdr:rowOff>
    </xdr:from>
    <xdr:to>
      <xdr:col>18</xdr:col>
      <xdr:colOff>0</xdr:colOff>
      <xdr:row>9</xdr:row>
      <xdr:rowOff>0</xdr:rowOff>
    </xdr:to>
    <xdr:sp>
      <xdr:nvSpPr>
        <xdr:cNvPr id="87" name="Line 131"/>
        <xdr:cNvSpPr>
          <a:spLocks/>
        </xdr:cNvSpPr>
      </xdr:nvSpPr>
      <xdr:spPr>
        <a:xfrm flipH="1">
          <a:off x="9267825" y="17145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88" name="Line 132"/>
        <xdr:cNvSpPr>
          <a:spLocks/>
        </xdr:cNvSpPr>
      </xdr:nvSpPr>
      <xdr:spPr>
        <a:xfrm flipH="1" flipV="1">
          <a:off x="7896225" y="17907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5</xdr:row>
      <xdr:rowOff>0</xdr:rowOff>
    </xdr:from>
    <xdr:to>
      <xdr:col>18</xdr:col>
      <xdr:colOff>0</xdr:colOff>
      <xdr:row>8</xdr:row>
      <xdr:rowOff>0</xdr:rowOff>
    </xdr:to>
    <xdr:sp>
      <xdr:nvSpPr>
        <xdr:cNvPr id="89" name="Line 134"/>
        <xdr:cNvSpPr>
          <a:spLocks/>
        </xdr:cNvSpPr>
      </xdr:nvSpPr>
      <xdr:spPr>
        <a:xfrm>
          <a:off x="8763000" y="1076325"/>
          <a:ext cx="504825" cy="6286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9525</xdr:rowOff>
    </xdr:from>
    <xdr:to>
      <xdr:col>19</xdr:col>
      <xdr:colOff>0</xdr:colOff>
      <xdr:row>9</xdr:row>
      <xdr:rowOff>0</xdr:rowOff>
    </xdr:to>
    <xdr:sp>
      <xdr:nvSpPr>
        <xdr:cNvPr id="90" name="Line 135"/>
        <xdr:cNvSpPr>
          <a:spLocks/>
        </xdr:cNvSpPr>
      </xdr:nvSpPr>
      <xdr:spPr>
        <a:xfrm>
          <a:off x="9410700" y="17145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523875</xdr:colOff>
      <xdr:row>8</xdr:row>
      <xdr:rowOff>9525</xdr:rowOff>
    </xdr:to>
    <xdr:sp>
      <xdr:nvSpPr>
        <xdr:cNvPr id="91" name="Line 136"/>
        <xdr:cNvSpPr>
          <a:spLocks/>
        </xdr:cNvSpPr>
      </xdr:nvSpPr>
      <xdr:spPr>
        <a:xfrm flipH="1">
          <a:off x="9410700" y="1076325"/>
          <a:ext cx="523875" cy="6381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409575</xdr:colOff>
      <xdr:row>9</xdr:row>
      <xdr:rowOff>0</xdr:rowOff>
    </xdr:from>
    <xdr:to>
      <xdr:col>21</xdr:col>
      <xdr:colOff>333375</xdr:colOff>
      <xdr:row>9</xdr:row>
      <xdr:rowOff>0</xdr:rowOff>
    </xdr:to>
    <xdr:sp>
      <xdr:nvSpPr>
        <xdr:cNvPr id="92" name="Line 138"/>
        <xdr:cNvSpPr>
          <a:spLocks/>
        </xdr:cNvSpPr>
      </xdr:nvSpPr>
      <xdr:spPr>
        <a:xfrm>
          <a:off x="9163050" y="17907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9525</xdr:rowOff>
    </xdr:from>
    <xdr:to>
      <xdr:col>19</xdr:col>
      <xdr:colOff>0</xdr:colOff>
      <xdr:row>7</xdr:row>
      <xdr:rowOff>57150</xdr:rowOff>
    </xdr:to>
    <xdr:sp>
      <xdr:nvSpPr>
        <xdr:cNvPr id="93" name="Line 146"/>
        <xdr:cNvSpPr>
          <a:spLocks/>
        </xdr:cNvSpPr>
      </xdr:nvSpPr>
      <xdr:spPr>
        <a:xfrm>
          <a:off x="9410700" y="6477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4</xdr:row>
      <xdr:rowOff>85725</xdr:rowOff>
    </xdr:from>
    <xdr:to>
      <xdr:col>20</xdr:col>
      <xdr:colOff>247650</xdr:colOff>
      <xdr:row>4</xdr:row>
      <xdr:rowOff>381000</xdr:rowOff>
    </xdr:to>
    <xdr:sp>
      <xdr:nvSpPr>
        <xdr:cNvPr id="94" name="Line 147"/>
        <xdr:cNvSpPr>
          <a:spLocks/>
        </xdr:cNvSpPr>
      </xdr:nvSpPr>
      <xdr:spPr>
        <a:xfrm flipV="1">
          <a:off x="9972675" y="723900"/>
          <a:ext cx="2095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104775</xdr:rowOff>
    </xdr:from>
    <xdr:to>
      <xdr:col>19</xdr:col>
      <xdr:colOff>390525</xdr:colOff>
      <xdr:row>5</xdr:row>
      <xdr:rowOff>190500</xdr:rowOff>
    </xdr:to>
    <xdr:sp>
      <xdr:nvSpPr>
        <xdr:cNvPr id="95" name="Freeform 148"/>
        <xdr:cNvSpPr>
          <a:spLocks/>
        </xdr:cNvSpPr>
      </xdr:nvSpPr>
      <xdr:spPr>
        <a:xfrm>
          <a:off x="9410700" y="1181100"/>
          <a:ext cx="390525" cy="95250"/>
        </a:xfrm>
        <a:custGeom>
          <a:pathLst>
            <a:path h="7" w="23">
              <a:moveTo>
                <a:pt x="0" y="1"/>
              </a:moveTo>
              <a:cubicBezTo>
                <a:pt x="4" y="0"/>
                <a:pt x="8" y="0"/>
                <a:pt x="12" y="1"/>
              </a:cubicBezTo>
              <a:cubicBezTo>
                <a:pt x="16" y="2"/>
                <a:pt x="21" y="6"/>
                <a:pt x="2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333375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96" name="Line 149"/>
        <xdr:cNvSpPr>
          <a:spLocks/>
        </xdr:cNvSpPr>
      </xdr:nvSpPr>
      <xdr:spPr>
        <a:xfrm>
          <a:off x="9086850" y="19526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323850</xdr:colOff>
      <xdr:row>10</xdr:row>
      <xdr:rowOff>0</xdr:rowOff>
    </xdr:to>
    <xdr:sp>
      <xdr:nvSpPr>
        <xdr:cNvPr id="97" name="Line 150"/>
        <xdr:cNvSpPr>
          <a:spLocks/>
        </xdr:cNvSpPr>
      </xdr:nvSpPr>
      <xdr:spPr>
        <a:xfrm>
          <a:off x="9410700" y="19526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8</xdr:row>
      <xdr:rowOff>0</xdr:rowOff>
    </xdr:from>
    <xdr:to>
      <xdr:col>20</xdr:col>
      <xdr:colOff>200025</xdr:colOff>
      <xdr:row>8</xdr:row>
      <xdr:rowOff>0</xdr:rowOff>
    </xdr:to>
    <xdr:sp>
      <xdr:nvSpPr>
        <xdr:cNvPr id="98" name="Line 151"/>
        <xdr:cNvSpPr>
          <a:spLocks/>
        </xdr:cNvSpPr>
      </xdr:nvSpPr>
      <xdr:spPr>
        <a:xfrm>
          <a:off x="9544050" y="1704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7</xdr:row>
      <xdr:rowOff>0</xdr:rowOff>
    </xdr:from>
    <xdr:to>
      <xdr:col>20</xdr:col>
      <xdr:colOff>114300</xdr:colOff>
      <xdr:row>8</xdr:row>
      <xdr:rowOff>0</xdr:rowOff>
    </xdr:to>
    <xdr:sp>
      <xdr:nvSpPr>
        <xdr:cNvPr id="99" name="Line 152"/>
        <xdr:cNvSpPr>
          <a:spLocks/>
        </xdr:cNvSpPr>
      </xdr:nvSpPr>
      <xdr:spPr>
        <a:xfrm>
          <a:off x="10048875" y="1495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9</xdr:row>
      <xdr:rowOff>9525</xdr:rowOff>
    </xdr:from>
    <xdr:to>
      <xdr:col>20</xdr:col>
      <xdr:colOff>114300</xdr:colOff>
      <xdr:row>10</xdr:row>
      <xdr:rowOff>28575</xdr:rowOff>
    </xdr:to>
    <xdr:sp>
      <xdr:nvSpPr>
        <xdr:cNvPr id="100" name="Line 153"/>
        <xdr:cNvSpPr>
          <a:spLocks/>
        </xdr:cNvSpPr>
      </xdr:nvSpPr>
      <xdr:spPr>
        <a:xfrm>
          <a:off x="10048875" y="18002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438150</xdr:colOff>
      <xdr:row>4</xdr:row>
      <xdr:rowOff>342900</xdr:rowOff>
    </xdr:from>
    <xdr:to>
      <xdr:col>16</xdr:col>
      <xdr:colOff>542925</xdr:colOff>
      <xdr:row>4</xdr:row>
      <xdr:rowOff>419100</xdr:rowOff>
    </xdr:to>
    <xdr:sp>
      <xdr:nvSpPr>
        <xdr:cNvPr id="101" name="Line 154"/>
        <xdr:cNvSpPr>
          <a:spLocks/>
        </xdr:cNvSpPr>
      </xdr:nvSpPr>
      <xdr:spPr>
        <a:xfrm flipV="1">
          <a:off x="8639175" y="981075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523875</xdr:colOff>
      <xdr:row>4</xdr:row>
      <xdr:rowOff>342900</xdr:rowOff>
    </xdr:from>
    <xdr:to>
      <xdr:col>20</xdr:col>
      <xdr:colOff>104775</xdr:colOff>
      <xdr:row>5</xdr:row>
      <xdr:rowOff>0</xdr:rowOff>
    </xdr:to>
    <xdr:sp>
      <xdr:nvSpPr>
        <xdr:cNvPr id="102" name="Line 155"/>
        <xdr:cNvSpPr>
          <a:spLocks/>
        </xdr:cNvSpPr>
      </xdr:nvSpPr>
      <xdr:spPr>
        <a:xfrm flipH="1" flipV="1">
          <a:off x="9934575" y="98107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5</xdr:row>
      <xdr:rowOff>0</xdr:rowOff>
    </xdr:from>
    <xdr:to>
      <xdr:col>21</xdr:col>
      <xdr:colOff>304800</xdr:colOff>
      <xdr:row>5</xdr:row>
      <xdr:rowOff>0</xdr:rowOff>
    </xdr:to>
    <xdr:sp>
      <xdr:nvSpPr>
        <xdr:cNvPr id="103" name="Line 156"/>
        <xdr:cNvSpPr>
          <a:spLocks/>
        </xdr:cNvSpPr>
      </xdr:nvSpPr>
      <xdr:spPr>
        <a:xfrm flipH="1">
          <a:off x="7810500" y="10763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5</xdr:row>
      <xdr:rowOff>9525</xdr:rowOff>
    </xdr:from>
    <xdr:to>
      <xdr:col>20</xdr:col>
      <xdr:colOff>314325</xdr:colOff>
      <xdr:row>9</xdr:row>
      <xdr:rowOff>0</xdr:rowOff>
    </xdr:to>
    <xdr:sp>
      <xdr:nvSpPr>
        <xdr:cNvPr id="104" name="Line 157"/>
        <xdr:cNvSpPr>
          <a:spLocks/>
        </xdr:cNvSpPr>
      </xdr:nvSpPr>
      <xdr:spPr>
        <a:xfrm flipH="1">
          <a:off x="10248900" y="10858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76200</xdr:rowOff>
    </xdr:from>
    <xdr:to>
      <xdr:col>19</xdr:col>
      <xdr:colOff>0</xdr:colOff>
      <xdr:row>10</xdr:row>
      <xdr:rowOff>142875</xdr:rowOff>
    </xdr:to>
    <xdr:sp>
      <xdr:nvSpPr>
        <xdr:cNvPr id="105" name="Line 158"/>
        <xdr:cNvSpPr>
          <a:spLocks/>
        </xdr:cNvSpPr>
      </xdr:nvSpPr>
      <xdr:spPr>
        <a:xfrm>
          <a:off x="9410700" y="1866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10</xdr:row>
      <xdr:rowOff>142875</xdr:rowOff>
    </xdr:to>
    <xdr:sp>
      <xdr:nvSpPr>
        <xdr:cNvPr id="106" name="Line 159"/>
        <xdr:cNvSpPr>
          <a:spLocks/>
        </xdr:cNvSpPr>
      </xdr:nvSpPr>
      <xdr:spPr>
        <a:xfrm>
          <a:off x="9267825" y="1866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3</xdr:row>
      <xdr:rowOff>0</xdr:rowOff>
    </xdr:to>
    <xdr:sp>
      <xdr:nvSpPr>
        <xdr:cNvPr id="107" name="Line 160"/>
        <xdr:cNvSpPr>
          <a:spLocks/>
        </xdr:cNvSpPr>
      </xdr:nvSpPr>
      <xdr:spPr>
        <a:xfrm flipV="1">
          <a:off x="9267825" y="2000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28575</xdr:rowOff>
    </xdr:from>
    <xdr:to>
      <xdr:col>17</xdr:col>
      <xdr:colOff>0</xdr:colOff>
      <xdr:row>4</xdr:row>
      <xdr:rowOff>314325</xdr:rowOff>
    </xdr:to>
    <xdr:sp>
      <xdr:nvSpPr>
        <xdr:cNvPr id="108" name="Line 161"/>
        <xdr:cNvSpPr>
          <a:spLocks/>
        </xdr:cNvSpPr>
      </xdr:nvSpPr>
      <xdr:spPr>
        <a:xfrm flipV="1">
          <a:off x="8753475" y="2286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2</xdr:row>
      <xdr:rowOff>9525</xdr:rowOff>
    </xdr:from>
    <xdr:to>
      <xdr:col>17</xdr:col>
      <xdr:colOff>0</xdr:colOff>
      <xdr:row>2</xdr:row>
      <xdr:rowOff>9525</xdr:rowOff>
    </xdr:to>
    <xdr:sp>
      <xdr:nvSpPr>
        <xdr:cNvPr id="109" name="Line 162"/>
        <xdr:cNvSpPr>
          <a:spLocks/>
        </xdr:cNvSpPr>
      </xdr:nvSpPr>
      <xdr:spPr>
        <a:xfrm flipH="1">
          <a:off x="8458200" y="371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</xdr:row>
      <xdr:rowOff>0</xdr:rowOff>
    </xdr:from>
    <xdr:to>
      <xdr:col>19</xdr:col>
      <xdr:colOff>19050</xdr:colOff>
      <xdr:row>2</xdr:row>
      <xdr:rowOff>0</xdr:rowOff>
    </xdr:to>
    <xdr:sp>
      <xdr:nvSpPr>
        <xdr:cNvPr id="110" name="Line 163"/>
        <xdr:cNvSpPr>
          <a:spLocks/>
        </xdr:cNvSpPr>
      </xdr:nvSpPr>
      <xdr:spPr>
        <a:xfrm>
          <a:off x="9277350" y="361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9525</xdr:rowOff>
    </xdr:from>
    <xdr:to>
      <xdr:col>19</xdr:col>
      <xdr:colOff>0</xdr:colOff>
      <xdr:row>9</xdr:row>
      <xdr:rowOff>38100</xdr:rowOff>
    </xdr:to>
    <xdr:sp>
      <xdr:nvSpPr>
        <xdr:cNvPr id="111" name="Arc 167"/>
        <xdr:cNvSpPr>
          <a:spLocks/>
        </xdr:cNvSpPr>
      </xdr:nvSpPr>
      <xdr:spPr>
        <a:xfrm flipV="1">
          <a:off x="9267825" y="1800225"/>
          <a:ext cx="142875" cy="28575"/>
        </a:xfrm>
        <a:custGeom>
          <a:pathLst>
            <a:path fill="none" h="21600" w="43200">
              <a:moveTo>
                <a:pt x="0" y="21600"/>
              </a:moveTo>
              <a:cubicBezTo>
                <a:pt x="0" y="9670"/>
                <a:pt x="9670" y="0"/>
                <a:pt x="21600" y="0"/>
              </a:cubicBezTo>
              <a:cubicBezTo>
                <a:pt x="-32007" y="0"/>
                <a:pt x="-22336" y="9670"/>
                <a:pt x="-22336" y="21600"/>
              </a:cubicBezTo>
            </a:path>
            <a:path stroke="0" h="21600" w="43200">
              <a:moveTo>
                <a:pt x="0" y="21600"/>
              </a:moveTo>
              <a:cubicBezTo>
                <a:pt x="0" y="9670"/>
                <a:pt x="9670" y="0"/>
                <a:pt x="21600" y="0"/>
              </a:cubicBezTo>
              <a:cubicBezTo>
                <a:pt x="-32007" y="0"/>
                <a:pt x="-22336" y="9670"/>
                <a:pt x="-22336" y="21600"/>
              </a:cubicBez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4</xdr:row>
      <xdr:rowOff>38100</xdr:rowOff>
    </xdr:from>
    <xdr:to>
      <xdr:col>16</xdr:col>
      <xdr:colOff>447675</xdr:colOff>
      <xdr:row>4</xdr:row>
      <xdr:rowOff>276225</xdr:rowOff>
    </xdr:to>
    <xdr:sp>
      <xdr:nvSpPr>
        <xdr:cNvPr id="112" name="Line 169"/>
        <xdr:cNvSpPr>
          <a:spLocks/>
        </xdr:cNvSpPr>
      </xdr:nvSpPr>
      <xdr:spPr>
        <a:xfrm flipH="1" flipV="1">
          <a:off x="8496300" y="676275"/>
          <a:ext cx="1524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342900</xdr:rowOff>
    </xdr:from>
    <xdr:to>
      <xdr:col>19</xdr:col>
      <xdr:colOff>523875</xdr:colOff>
      <xdr:row>4</xdr:row>
      <xdr:rowOff>342900</xdr:rowOff>
    </xdr:to>
    <xdr:sp>
      <xdr:nvSpPr>
        <xdr:cNvPr id="113" name="Line 170"/>
        <xdr:cNvSpPr>
          <a:spLocks/>
        </xdr:cNvSpPr>
      </xdr:nvSpPr>
      <xdr:spPr>
        <a:xfrm>
          <a:off x="8743950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4</xdr:row>
      <xdr:rowOff>219075</xdr:rowOff>
    </xdr:from>
    <xdr:to>
      <xdr:col>15</xdr:col>
      <xdr:colOff>28575</xdr:colOff>
      <xdr:row>4</xdr:row>
      <xdr:rowOff>342900</xdr:rowOff>
    </xdr:to>
    <xdr:sp>
      <xdr:nvSpPr>
        <xdr:cNvPr id="114" name="Line 179"/>
        <xdr:cNvSpPr>
          <a:spLocks/>
        </xdr:cNvSpPr>
      </xdr:nvSpPr>
      <xdr:spPr>
        <a:xfrm>
          <a:off x="7600950" y="857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5</xdr:row>
      <xdr:rowOff>0</xdr:rowOff>
    </xdr:from>
    <xdr:to>
      <xdr:col>15</xdr:col>
      <xdr:colOff>28575</xdr:colOff>
      <xdr:row>5</xdr:row>
      <xdr:rowOff>171450</xdr:rowOff>
    </xdr:to>
    <xdr:sp>
      <xdr:nvSpPr>
        <xdr:cNvPr id="115" name="Line 180"/>
        <xdr:cNvSpPr>
          <a:spLocks/>
        </xdr:cNvSpPr>
      </xdr:nvSpPr>
      <xdr:spPr>
        <a:xfrm flipH="1">
          <a:off x="7591425" y="10763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523875</xdr:colOff>
      <xdr:row>4</xdr:row>
      <xdr:rowOff>342900</xdr:rowOff>
    </xdr:from>
    <xdr:to>
      <xdr:col>16</xdr:col>
      <xdr:colOff>47625</xdr:colOff>
      <xdr:row>4</xdr:row>
      <xdr:rowOff>342900</xdr:rowOff>
    </xdr:to>
    <xdr:sp>
      <xdr:nvSpPr>
        <xdr:cNvPr id="116" name="Line 181"/>
        <xdr:cNvSpPr>
          <a:spLocks/>
        </xdr:cNvSpPr>
      </xdr:nvSpPr>
      <xdr:spPr>
        <a:xfrm>
          <a:off x="7572375" y="981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</xdr:row>
      <xdr:rowOff>19050</xdr:rowOff>
    </xdr:from>
    <xdr:to>
      <xdr:col>15</xdr:col>
      <xdr:colOff>323850</xdr:colOff>
      <xdr:row>7</xdr:row>
      <xdr:rowOff>161925</xdr:rowOff>
    </xdr:to>
    <xdr:sp>
      <xdr:nvSpPr>
        <xdr:cNvPr id="117" name="Line 184"/>
        <xdr:cNvSpPr>
          <a:spLocks/>
        </xdr:cNvSpPr>
      </xdr:nvSpPr>
      <xdr:spPr>
        <a:xfrm>
          <a:off x="7686675" y="1514475"/>
          <a:ext cx="20955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6</xdr:row>
      <xdr:rowOff>38100</xdr:rowOff>
    </xdr:from>
    <xdr:to>
      <xdr:col>15</xdr:col>
      <xdr:colOff>466725</xdr:colOff>
      <xdr:row>7</xdr:row>
      <xdr:rowOff>9525</xdr:rowOff>
    </xdr:to>
    <xdr:sp>
      <xdr:nvSpPr>
        <xdr:cNvPr id="118" name="Line 185"/>
        <xdr:cNvSpPr>
          <a:spLocks/>
        </xdr:cNvSpPr>
      </xdr:nvSpPr>
      <xdr:spPr>
        <a:xfrm flipV="1">
          <a:off x="7677150" y="1323975"/>
          <a:ext cx="36195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5</xdr:row>
      <xdr:rowOff>142875</xdr:rowOff>
    </xdr:from>
    <xdr:to>
      <xdr:col>15</xdr:col>
      <xdr:colOff>466725</xdr:colOff>
      <xdr:row>6</xdr:row>
      <xdr:rowOff>38100</xdr:rowOff>
    </xdr:to>
    <xdr:sp>
      <xdr:nvSpPr>
        <xdr:cNvPr id="119" name="Line 186"/>
        <xdr:cNvSpPr>
          <a:spLocks/>
        </xdr:cNvSpPr>
      </xdr:nvSpPr>
      <xdr:spPr>
        <a:xfrm flipH="1" flipV="1">
          <a:off x="7810500" y="1219200"/>
          <a:ext cx="228600" cy="104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5</xdr:row>
      <xdr:rowOff>0</xdr:rowOff>
    </xdr:from>
    <xdr:to>
      <xdr:col>15</xdr:col>
      <xdr:colOff>238125</xdr:colOff>
      <xdr:row>5</xdr:row>
      <xdr:rowOff>142875</xdr:rowOff>
    </xdr:to>
    <xdr:sp>
      <xdr:nvSpPr>
        <xdr:cNvPr id="120" name="Line 187"/>
        <xdr:cNvSpPr>
          <a:spLocks/>
        </xdr:cNvSpPr>
      </xdr:nvSpPr>
      <xdr:spPr>
        <a:xfrm>
          <a:off x="7810500" y="10763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7</xdr:row>
      <xdr:rowOff>152400</xdr:rowOff>
    </xdr:from>
    <xdr:to>
      <xdr:col>15</xdr:col>
      <xdr:colOff>323850</xdr:colOff>
      <xdr:row>8</xdr:row>
      <xdr:rowOff>76200</xdr:rowOff>
    </xdr:to>
    <xdr:sp>
      <xdr:nvSpPr>
        <xdr:cNvPr id="121" name="Line 188"/>
        <xdr:cNvSpPr>
          <a:spLocks/>
        </xdr:cNvSpPr>
      </xdr:nvSpPr>
      <xdr:spPr>
        <a:xfrm>
          <a:off x="7896225" y="1647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19050</xdr:rowOff>
    </xdr:from>
    <xdr:to>
      <xdr:col>21</xdr:col>
      <xdr:colOff>314325</xdr:colOff>
      <xdr:row>7</xdr:row>
      <xdr:rowOff>161925</xdr:rowOff>
    </xdr:to>
    <xdr:sp>
      <xdr:nvSpPr>
        <xdr:cNvPr id="122" name="Line 189"/>
        <xdr:cNvSpPr>
          <a:spLocks/>
        </xdr:cNvSpPr>
      </xdr:nvSpPr>
      <xdr:spPr>
        <a:xfrm>
          <a:off x="10629900" y="1514475"/>
          <a:ext cx="200025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6</xdr:row>
      <xdr:rowOff>38100</xdr:rowOff>
    </xdr:from>
    <xdr:to>
      <xdr:col>21</xdr:col>
      <xdr:colOff>466725</xdr:colOff>
      <xdr:row>7</xdr:row>
      <xdr:rowOff>9525</xdr:rowOff>
    </xdr:to>
    <xdr:sp>
      <xdr:nvSpPr>
        <xdr:cNvPr id="123" name="Line 190"/>
        <xdr:cNvSpPr>
          <a:spLocks/>
        </xdr:cNvSpPr>
      </xdr:nvSpPr>
      <xdr:spPr>
        <a:xfrm flipV="1">
          <a:off x="10620375" y="1323975"/>
          <a:ext cx="36195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304800</xdr:colOff>
      <xdr:row>5</xdr:row>
      <xdr:rowOff>142875</xdr:rowOff>
    </xdr:from>
    <xdr:to>
      <xdr:col>21</xdr:col>
      <xdr:colOff>466725</xdr:colOff>
      <xdr:row>6</xdr:row>
      <xdr:rowOff>38100</xdr:rowOff>
    </xdr:to>
    <xdr:sp>
      <xdr:nvSpPr>
        <xdr:cNvPr id="124" name="Line 191"/>
        <xdr:cNvSpPr>
          <a:spLocks/>
        </xdr:cNvSpPr>
      </xdr:nvSpPr>
      <xdr:spPr>
        <a:xfrm flipH="1" flipV="1">
          <a:off x="10820400" y="1219200"/>
          <a:ext cx="161925" cy="104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304800</xdr:colOff>
      <xdr:row>5</xdr:row>
      <xdr:rowOff>0</xdr:rowOff>
    </xdr:from>
    <xdr:to>
      <xdr:col>21</xdr:col>
      <xdr:colOff>304800</xdr:colOff>
      <xdr:row>5</xdr:row>
      <xdr:rowOff>142875</xdr:rowOff>
    </xdr:to>
    <xdr:sp>
      <xdr:nvSpPr>
        <xdr:cNvPr id="125" name="Line 192"/>
        <xdr:cNvSpPr>
          <a:spLocks/>
        </xdr:cNvSpPr>
      </xdr:nvSpPr>
      <xdr:spPr>
        <a:xfrm>
          <a:off x="10820400" y="10763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7</xdr:row>
      <xdr:rowOff>152400</xdr:rowOff>
    </xdr:from>
    <xdr:to>
      <xdr:col>21</xdr:col>
      <xdr:colOff>323850</xdr:colOff>
      <xdr:row>8</xdr:row>
      <xdr:rowOff>76200</xdr:rowOff>
    </xdr:to>
    <xdr:sp>
      <xdr:nvSpPr>
        <xdr:cNvPr id="126" name="Line 193"/>
        <xdr:cNvSpPr>
          <a:spLocks/>
        </xdr:cNvSpPr>
      </xdr:nvSpPr>
      <xdr:spPr>
        <a:xfrm>
          <a:off x="10839450" y="1647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115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229350" y="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18</xdr:col>
      <xdr:colOff>285750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238875" y="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87730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1722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616267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13</xdr:col>
      <xdr:colOff>114300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622935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1" name="Freeform 21"/>
        <xdr:cNvSpPr>
          <a:spLocks/>
        </xdr:cNvSpPr>
      </xdr:nvSpPr>
      <xdr:spPr>
        <a:xfrm>
          <a:off x="10858500" y="0"/>
          <a:ext cx="0" cy="0"/>
        </a:xfrm>
        <a:custGeom>
          <a:pathLst>
            <a:path h="7" w="23">
              <a:moveTo>
                <a:pt x="0" y="1"/>
              </a:moveTo>
              <a:cubicBezTo>
                <a:pt x="4" y="0"/>
                <a:pt x="8" y="0"/>
                <a:pt x="12" y="1"/>
              </a:cubicBezTo>
              <a:cubicBezTo>
                <a:pt x="16" y="2"/>
                <a:pt x="21" y="6"/>
                <a:pt x="2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0</xdr:row>
      <xdr:rowOff>0</xdr:rowOff>
    </xdr:from>
    <xdr:to>
      <xdr:col>18</xdr:col>
      <xdr:colOff>257175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87534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247650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8839200" y="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461962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474345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</xdr:row>
      <xdr:rowOff>0</xdr:rowOff>
    </xdr:from>
    <xdr:to>
      <xdr:col>5</xdr:col>
      <xdr:colOff>428625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320992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320992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474345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474345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461962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461962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200025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437197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9525</xdr:rowOff>
    </xdr:from>
    <xdr:to>
      <xdr:col>9</xdr:col>
      <xdr:colOff>0</xdr:colOff>
      <xdr:row>9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4619625" y="1714500"/>
          <a:ext cx="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3209925" y="1790700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8</xdr:col>
      <xdr:colOff>171450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219450" y="638175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>
          <a:off x="4171950" y="1076325"/>
          <a:ext cx="447675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9525</xdr:rowOff>
    </xdr:from>
    <xdr:to>
      <xdr:col>10</xdr:col>
      <xdr:colOff>0</xdr:colOff>
      <xdr:row>9</xdr:row>
      <xdr:rowOff>0</xdr:rowOff>
    </xdr:to>
    <xdr:sp>
      <xdr:nvSpPr>
        <xdr:cNvPr id="39" name="Line 39"/>
        <xdr:cNvSpPr>
          <a:spLocks/>
        </xdr:cNvSpPr>
      </xdr:nvSpPr>
      <xdr:spPr>
        <a:xfrm>
          <a:off x="4743450" y="1714500"/>
          <a:ext cx="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447675</xdr:colOff>
      <xdr:row>8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4743450" y="1076325"/>
          <a:ext cx="447675" cy="638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4752975" y="638175"/>
          <a:ext cx="147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42" name="Line 42"/>
        <xdr:cNvSpPr>
          <a:spLocks/>
        </xdr:cNvSpPr>
      </xdr:nvSpPr>
      <xdr:spPr>
        <a:xfrm>
          <a:off x="4743450" y="179070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9525</xdr:rowOff>
    </xdr:to>
    <xdr:sp>
      <xdr:nvSpPr>
        <xdr:cNvPr id="43" name="Line 43"/>
        <xdr:cNvSpPr>
          <a:spLocks/>
        </xdr:cNvSpPr>
      </xdr:nvSpPr>
      <xdr:spPr>
        <a:xfrm>
          <a:off x="3209925" y="647700"/>
          <a:ext cx="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44" name="Line 44"/>
        <xdr:cNvSpPr>
          <a:spLocks/>
        </xdr:cNvSpPr>
      </xdr:nvSpPr>
      <xdr:spPr>
        <a:xfrm>
          <a:off x="3209925" y="1714500"/>
          <a:ext cx="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7</xdr:row>
      <xdr:rowOff>19050</xdr:rowOff>
    </xdr:from>
    <xdr:to>
      <xdr:col>5</xdr:col>
      <xdr:colOff>419100</xdr:colOff>
      <xdr:row>8</xdr:row>
      <xdr:rowOff>9525</xdr:rowOff>
    </xdr:to>
    <xdr:sp>
      <xdr:nvSpPr>
        <xdr:cNvPr id="45" name="Line 45"/>
        <xdr:cNvSpPr>
          <a:spLocks/>
        </xdr:cNvSpPr>
      </xdr:nvSpPr>
      <xdr:spPr>
        <a:xfrm>
          <a:off x="3000375" y="1514475"/>
          <a:ext cx="200025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</xdr:row>
      <xdr:rowOff>142875</xdr:rowOff>
    </xdr:from>
    <xdr:to>
      <xdr:col>6</xdr:col>
      <xdr:colOff>180975</xdr:colOff>
      <xdr:row>7</xdr:row>
      <xdr:rowOff>9525</xdr:rowOff>
    </xdr:to>
    <xdr:sp>
      <xdr:nvSpPr>
        <xdr:cNvPr id="46" name="Line 46"/>
        <xdr:cNvSpPr>
          <a:spLocks/>
        </xdr:cNvSpPr>
      </xdr:nvSpPr>
      <xdr:spPr>
        <a:xfrm flipV="1">
          <a:off x="3000375" y="1219200"/>
          <a:ext cx="39052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161925</xdr:colOff>
      <xdr:row>5</xdr:row>
      <xdr:rowOff>142875</xdr:rowOff>
    </xdr:to>
    <xdr:sp>
      <xdr:nvSpPr>
        <xdr:cNvPr id="47" name="Line 47"/>
        <xdr:cNvSpPr>
          <a:spLocks/>
        </xdr:cNvSpPr>
      </xdr:nvSpPr>
      <xdr:spPr>
        <a:xfrm flipH="1" flipV="1">
          <a:off x="3209925" y="1076325"/>
          <a:ext cx="161925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4</xdr:row>
      <xdr:rowOff>9525</xdr:rowOff>
    </xdr:from>
    <xdr:to>
      <xdr:col>12</xdr:col>
      <xdr:colOff>523875</xdr:colOff>
      <xdr:row>5</xdr:row>
      <xdr:rowOff>9525</xdr:rowOff>
    </xdr:to>
    <xdr:sp>
      <xdr:nvSpPr>
        <xdr:cNvPr id="48" name="Line 48"/>
        <xdr:cNvSpPr>
          <a:spLocks/>
        </xdr:cNvSpPr>
      </xdr:nvSpPr>
      <xdr:spPr>
        <a:xfrm>
          <a:off x="6229350" y="647700"/>
          <a:ext cx="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76200</xdr:rowOff>
    </xdr:to>
    <xdr:sp>
      <xdr:nvSpPr>
        <xdr:cNvPr id="49" name="Line 49"/>
        <xdr:cNvSpPr>
          <a:spLocks/>
        </xdr:cNvSpPr>
      </xdr:nvSpPr>
      <xdr:spPr>
        <a:xfrm flipH="1">
          <a:off x="6229350" y="1704975"/>
          <a:ext cx="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7</xdr:row>
      <xdr:rowOff>9525</xdr:rowOff>
    </xdr:from>
    <xdr:to>
      <xdr:col>13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>
          <a:off x="6076950" y="1504950"/>
          <a:ext cx="15240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5</xdr:row>
      <xdr:rowOff>104775</xdr:rowOff>
    </xdr:from>
    <xdr:to>
      <xdr:col>13</xdr:col>
      <xdr:colOff>180975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6067425" y="1181100"/>
          <a:ext cx="34290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171450</xdr:colOff>
      <xdr:row>5</xdr:row>
      <xdr:rowOff>114300</xdr:rowOff>
    </xdr:to>
    <xdr:sp>
      <xdr:nvSpPr>
        <xdr:cNvPr id="52" name="Line 52"/>
        <xdr:cNvSpPr>
          <a:spLocks/>
        </xdr:cNvSpPr>
      </xdr:nvSpPr>
      <xdr:spPr>
        <a:xfrm flipH="1" flipV="1">
          <a:off x="6229350" y="1076325"/>
          <a:ext cx="1714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7</xdr:row>
      <xdr:rowOff>57150</xdr:rowOff>
    </xdr:to>
    <xdr:sp>
      <xdr:nvSpPr>
        <xdr:cNvPr id="53" name="Line 53"/>
        <xdr:cNvSpPr>
          <a:spLocks/>
        </xdr:cNvSpPr>
      </xdr:nvSpPr>
      <xdr:spPr>
        <a:xfrm>
          <a:off x="4743450" y="390525"/>
          <a:ext cx="0" cy="11620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</xdr:row>
      <xdr:rowOff>0</xdr:rowOff>
    </xdr:from>
    <xdr:to>
      <xdr:col>11</xdr:col>
      <xdr:colOff>333375</xdr:colOff>
      <xdr:row>3</xdr:row>
      <xdr:rowOff>104775</xdr:rowOff>
    </xdr:to>
    <xdr:sp>
      <xdr:nvSpPr>
        <xdr:cNvPr id="54" name="Line 54"/>
        <xdr:cNvSpPr>
          <a:spLocks/>
        </xdr:cNvSpPr>
      </xdr:nvSpPr>
      <xdr:spPr>
        <a:xfrm flipV="1">
          <a:off x="5353050" y="200025"/>
          <a:ext cx="1714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95250</xdr:rowOff>
    </xdr:from>
    <xdr:to>
      <xdr:col>10</xdr:col>
      <xdr:colOff>333375</xdr:colOff>
      <xdr:row>5</xdr:row>
      <xdr:rowOff>161925</xdr:rowOff>
    </xdr:to>
    <xdr:sp>
      <xdr:nvSpPr>
        <xdr:cNvPr id="55" name="Freeform 55"/>
        <xdr:cNvSpPr>
          <a:spLocks/>
        </xdr:cNvSpPr>
      </xdr:nvSpPr>
      <xdr:spPr>
        <a:xfrm>
          <a:off x="4752975" y="1171575"/>
          <a:ext cx="323850" cy="66675"/>
        </a:xfrm>
        <a:custGeom>
          <a:pathLst>
            <a:path h="7" w="23">
              <a:moveTo>
                <a:pt x="0" y="1"/>
              </a:moveTo>
              <a:cubicBezTo>
                <a:pt x="4" y="0"/>
                <a:pt x="8" y="0"/>
                <a:pt x="12" y="1"/>
              </a:cubicBezTo>
              <a:cubicBezTo>
                <a:pt x="16" y="2"/>
                <a:pt x="21" y="6"/>
                <a:pt x="23" y="7"/>
              </a:cubicBez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6" name="Line 56"/>
        <xdr:cNvSpPr>
          <a:spLocks/>
        </xdr:cNvSpPr>
      </xdr:nvSpPr>
      <xdr:spPr>
        <a:xfrm>
          <a:off x="4467225" y="1952625"/>
          <a:ext cx="1524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219075</xdr:colOff>
      <xdr:row>10</xdr:row>
      <xdr:rowOff>0</xdr:rowOff>
    </xdr:to>
    <xdr:sp>
      <xdr:nvSpPr>
        <xdr:cNvPr id="57" name="Line 57"/>
        <xdr:cNvSpPr>
          <a:spLocks/>
        </xdr:cNvSpPr>
      </xdr:nvSpPr>
      <xdr:spPr>
        <a:xfrm>
          <a:off x="4743450" y="1952625"/>
          <a:ext cx="2190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8</xdr:row>
      <xdr:rowOff>0</xdr:rowOff>
    </xdr:from>
    <xdr:to>
      <xdr:col>12</xdr:col>
      <xdr:colOff>200025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>
          <a:off x="4876800" y="170497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7</xdr:row>
      <xdr:rowOff>0</xdr:rowOff>
    </xdr:from>
    <xdr:to>
      <xdr:col>11</xdr:col>
      <xdr:colOff>114300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>
          <a:off x="5305425" y="14954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9</xdr:row>
      <xdr:rowOff>9525</xdr:rowOff>
    </xdr:from>
    <xdr:to>
      <xdr:col>11</xdr:col>
      <xdr:colOff>114300</xdr:colOff>
      <xdr:row>10</xdr:row>
      <xdr:rowOff>28575</xdr:rowOff>
    </xdr:to>
    <xdr:sp>
      <xdr:nvSpPr>
        <xdr:cNvPr id="60" name="Line 60"/>
        <xdr:cNvSpPr>
          <a:spLocks/>
        </xdr:cNvSpPr>
      </xdr:nvSpPr>
      <xdr:spPr>
        <a:xfrm>
          <a:off x="5305425" y="18002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</xdr:row>
      <xdr:rowOff>0</xdr:rowOff>
    </xdr:from>
    <xdr:to>
      <xdr:col>7</xdr:col>
      <xdr:colOff>333375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3876675" y="523875"/>
          <a:ext cx="11430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3</xdr:row>
      <xdr:rowOff>0</xdr:rowOff>
    </xdr:from>
    <xdr:to>
      <xdr:col>11</xdr:col>
      <xdr:colOff>314325</xdr:colOff>
      <xdr:row>3</xdr:row>
      <xdr:rowOff>104775</xdr:rowOff>
    </xdr:to>
    <xdr:sp>
      <xdr:nvSpPr>
        <xdr:cNvPr id="62" name="Line 62"/>
        <xdr:cNvSpPr>
          <a:spLocks/>
        </xdr:cNvSpPr>
      </xdr:nvSpPr>
      <xdr:spPr>
        <a:xfrm flipH="1" flipV="1">
          <a:off x="5400675" y="523875"/>
          <a:ext cx="104775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</xdr:row>
      <xdr:rowOff>0</xdr:rowOff>
    </xdr:from>
    <xdr:to>
      <xdr:col>12</xdr:col>
      <xdr:colOff>247650</xdr:colOff>
      <xdr:row>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3876675" y="523875"/>
          <a:ext cx="2076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9</xdr:row>
      <xdr:rowOff>0</xdr:rowOff>
    </xdr:to>
    <xdr:sp>
      <xdr:nvSpPr>
        <xdr:cNvPr id="64" name="Line 64"/>
        <xdr:cNvSpPr>
          <a:spLocks/>
        </xdr:cNvSpPr>
      </xdr:nvSpPr>
      <xdr:spPr>
        <a:xfrm>
          <a:off x="5705475" y="638175"/>
          <a:ext cx="0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76200</xdr:rowOff>
    </xdr:from>
    <xdr:to>
      <xdr:col>10</xdr:col>
      <xdr:colOff>0</xdr:colOff>
      <xdr:row>10</xdr:row>
      <xdr:rowOff>142875</xdr:rowOff>
    </xdr:to>
    <xdr:sp>
      <xdr:nvSpPr>
        <xdr:cNvPr id="65" name="Line 65"/>
        <xdr:cNvSpPr>
          <a:spLocks/>
        </xdr:cNvSpPr>
      </xdr:nvSpPr>
      <xdr:spPr>
        <a:xfrm>
          <a:off x="4743450" y="1866900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76200</xdr:rowOff>
    </xdr:from>
    <xdr:to>
      <xdr:col>9</xdr:col>
      <xdr:colOff>0</xdr:colOff>
      <xdr:row>10</xdr:row>
      <xdr:rowOff>142875</xdr:rowOff>
    </xdr:to>
    <xdr:sp>
      <xdr:nvSpPr>
        <xdr:cNvPr id="66" name="Line 66"/>
        <xdr:cNvSpPr>
          <a:spLocks/>
        </xdr:cNvSpPr>
      </xdr:nvSpPr>
      <xdr:spPr>
        <a:xfrm>
          <a:off x="4619625" y="1866900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3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4619625" y="2000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2</xdr:row>
      <xdr:rowOff>152400</xdr:rowOff>
    </xdr:to>
    <xdr:sp>
      <xdr:nvSpPr>
        <xdr:cNvPr id="68" name="Line 68"/>
        <xdr:cNvSpPr>
          <a:spLocks/>
        </xdr:cNvSpPr>
      </xdr:nvSpPr>
      <xdr:spPr>
        <a:xfrm flipV="1">
          <a:off x="4171950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</xdr:row>
      <xdr:rowOff>85725</xdr:rowOff>
    </xdr:from>
    <xdr:to>
      <xdr:col>7</xdr:col>
      <xdr:colOff>504825</xdr:colOff>
      <xdr:row>1</xdr:row>
      <xdr:rowOff>85725</xdr:rowOff>
    </xdr:to>
    <xdr:sp>
      <xdr:nvSpPr>
        <xdr:cNvPr id="69" name="Line 69"/>
        <xdr:cNvSpPr>
          <a:spLocks/>
        </xdr:cNvSpPr>
      </xdr:nvSpPr>
      <xdr:spPr>
        <a:xfrm flipH="1">
          <a:off x="3905250" y="28575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10</xdr:col>
      <xdr:colOff>76200</xdr:colOff>
      <xdr:row>1</xdr:row>
      <xdr:rowOff>85725</xdr:rowOff>
    </xdr:to>
    <xdr:sp>
      <xdr:nvSpPr>
        <xdr:cNvPr id="70" name="Line 70"/>
        <xdr:cNvSpPr>
          <a:spLocks/>
        </xdr:cNvSpPr>
      </xdr:nvSpPr>
      <xdr:spPr>
        <a:xfrm>
          <a:off x="4619625" y="28575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2</xdr:row>
      <xdr:rowOff>19050</xdr:rowOff>
    </xdr:from>
    <xdr:to>
      <xdr:col>12</xdr:col>
      <xdr:colOff>295275</xdr:colOff>
      <xdr:row>2</xdr:row>
      <xdr:rowOff>152400</xdr:rowOff>
    </xdr:to>
    <xdr:sp>
      <xdr:nvSpPr>
        <xdr:cNvPr id="71" name="Line 71"/>
        <xdr:cNvSpPr>
          <a:spLocks/>
        </xdr:cNvSpPr>
      </xdr:nvSpPr>
      <xdr:spPr>
        <a:xfrm>
          <a:off x="6000750" y="38100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4</xdr:row>
      <xdr:rowOff>0</xdr:rowOff>
    </xdr:from>
    <xdr:to>
      <xdr:col>12</xdr:col>
      <xdr:colOff>295275</xdr:colOff>
      <xdr:row>4</xdr:row>
      <xdr:rowOff>180975</xdr:rowOff>
    </xdr:to>
    <xdr:sp>
      <xdr:nvSpPr>
        <xdr:cNvPr id="72" name="Line 72"/>
        <xdr:cNvSpPr>
          <a:spLocks/>
        </xdr:cNvSpPr>
      </xdr:nvSpPr>
      <xdr:spPr>
        <a:xfrm>
          <a:off x="6000750" y="6381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73" name="Line 73"/>
        <xdr:cNvSpPr>
          <a:spLocks/>
        </xdr:cNvSpPr>
      </xdr:nvSpPr>
      <xdr:spPr>
        <a:xfrm>
          <a:off x="4352925" y="63817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9525</xdr:rowOff>
    </xdr:from>
    <xdr:to>
      <xdr:col>10</xdr:col>
      <xdr:colOff>0</xdr:colOff>
      <xdr:row>9</xdr:row>
      <xdr:rowOff>38100</xdr:rowOff>
    </xdr:to>
    <xdr:sp>
      <xdr:nvSpPr>
        <xdr:cNvPr id="74" name="Arc 74"/>
        <xdr:cNvSpPr>
          <a:spLocks/>
        </xdr:cNvSpPr>
      </xdr:nvSpPr>
      <xdr:spPr>
        <a:xfrm flipV="1">
          <a:off x="4619625" y="1800225"/>
          <a:ext cx="123825" cy="28575"/>
        </a:xfrm>
        <a:custGeom>
          <a:pathLst>
            <a:path fill="none" h="21600" w="43200">
              <a:moveTo>
                <a:pt x="0" y="21600"/>
              </a:moveTo>
              <a:cubicBezTo>
                <a:pt x="0" y="9670"/>
                <a:pt x="9670" y="0"/>
                <a:pt x="21600" y="0"/>
              </a:cubicBezTo>
              <a:cubicBezTo>
                <a:pt x="-32007" y="0"/>
                <a:pt x="-22336" y="9670"/>
                <a:pt x="-22336" y="21600"/>
              </a:cubicBezTo>
            </a:path>
            <a:path stroke="0" h="21600" w="43200">
              <a:moveTo>
                <a:pt x="0" y="21600"/>
              </a:moveTo>
              <a:cubicBezTo>
                <a:pt x="0" y="9670"/>
                <a:pt x="9670" y="0"/>
                <a:pt x="21600" y="0"/>
              </a:cubicBezTo>
              <a:cubicBezTo>
                <a:pt x="-32007" y="0"/>
                <a:pt x="-22336" y="9670"/>
                <a:pt x="-22336" y="21600"/>
              </a:cubicBez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66675</xdr:colOff>
      <xdr:row>3</xdr:row>
      <xdr:rowOff>0</xdr:rowOff>
    </xdr:to>
    <xdr:sp>
      <xdr:nvSpPr>
        <xdr:cNvPr id="75" name="Line 75"/>
        <xdr:cNvSpPr>
          <a:spLocks/>
        </xdr:cNvSpPr>
      </xdr:nvSpPr>
      <xdr:spPr>
        <a:xfrm>
          <a:off x="5705475" y="52387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4</xdr:row>
      <xdr:rowOff>0</xdr:rowOff>
    </xdr:from>
    <xdr:to>
      <xdr:col>8</xdr:col>
      <xdr:colOff>0</xdr:colOff>
      <xdr:row>5</xdr:row>
      <xdr:rowOff>9525</xdr:rowOff>
    </xdr:to>
    <xdr:sp>
      <xdr:nvSpPr>
        <xdr:cNvPr id="76" name="Line 76"/>
        <xdr:cNvSpPr>
          <a:spLocks/>
        </xdr:cNvSpPr>
      </xdr:nvSpPr>
      <xdr:spPr>
        <a:xfrm flipH="1" flipV="1">
          <a:off x="4019550" y="638175"/>
          <a:ext cx="152400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152400</xdr:colOff>
      <xdr:row>5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5191125" y="647700"/>
          <a:ext cx="152400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78" name="Line 78"/>
        <xdr:cNvSpPr>
          <a:spLocks/>
        </xdr:cNvSpPr>
      </xdr:nvSpPr>
      <xdr:spPr>
        <a:xfrm>
          <a:off x="4181475" y="1076325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28575</xdr:rowOff>
    </xdr:from>
    <xdr:to>
      <xdr:col>11</xdr:col>
      <xdr:colOff>381000</xdr:colOff>
      <xdr:row>5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5200650" y="552450"/>
          <a:ext cx="371475" cy="5238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</xdr:row>
      <xdr:rowOff>47625</xdr:rowOff>
    </xdr:from>
    <xdr:to>
      <xdr:col>10</xdr:col>
      <xdr:colOff>447675</xdr:colOff>
      <xdr:row>4</xdr:row>
      <xdr:rowOff>409575</xdr:rowOff>
    </xdr:to>
    <xdr:sp>
      <xdr:nvSpPr>
        <xdr:cNvPr id="80" name="Line 80"/>
        <xdr:cNvSpPr>
          <a:spLocks/>
        </xdr:cNvSpPr>
      </xdr:nvSpPr>
      <xdr:spPr>
        <a:xfrm flipV="1">
          <a:off x="5191125" y="247650"/>
          <a:ext cx="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66675</xdr:rowOff>
    </xdr:from>
    <xdr:to>
      <xdr:col>11</xdr:col>
      <xdr:colOff>219075</xdr:colOff>
      <xdr:row>2</xdr:row>
      <xdr:rowOff>114300</xdr:rowOff>
    </xdr:to>
    <xdr:sp>
      <xdr:nvSpPr>
        <xdr:cNvPr id="81" name="Freeform 81"/>
        <xdr:cNvSpPr>
          <a:spLocks/>
        </xdr:cNvSpPr>
      </xdr:nvSpPr>
      <xdr:spPr>
        <a:xfrm>
          <a:off x="5191125" y="428625"/>
          <a:ext cx="219075" cy="47625"/>
        </a:xfrm>
        <a:custGeom>
          <a:pathLst>
            <a:path h="7" w="23">
              <a:moveTo>
                <a:pt x="0" y="1"/>
              </a:moveTo>
              <a:cubicBezTo>
                <a:pt x="4" y="0"/>
                <a:pt x="8" y="0"/>
                <a:pt x="12" y="1"/>
              </a:cubicBezTo>
              <a:cubicBezTo>
                <a:pt x="16" y="2"/>
                <a:pt x="21" y="6"/>
                <a:pt x="23" y="7"/>
              </a:cubicBez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</xdr:row>
      <xdr:rowOff>161925</xdr:rowOff>
    </xdr:from>
    <xdr:to>
      <xdr:col>7</xdr:col>
      <xdr:colOff>352425</xdr:colOff>
      <xdr:row>2</xdr:row>
      <xdr:rowOff>152400</xdr:rowOff>
    </xdr:to>
    <xdr:sp>
      <xdr:nvSpPr>
        <xdr:cNvPr id="82" name="Line 82"/>
        <xdr:cNvSpPr>
          <a:spLocks/>
        </xdr:cNvSpPr>
      </xdr:nvSpPr>
      <xdr:spPr>
        <a:xfrm flipV="1">
          <a:off x="4010025" y="3619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76200</xdr:rowOff>
    </xdr:from>
    <xdr:to>
      <xdr:col>8</xdr:col>
      <xdr:colOff>200025</xdr:colOff>
      <xdr:row>2</xdr:row>
      <xdr:rowOff>76200</xdr:rowOff>
    </xdr:to>
    <xdr:sp>
      <xdr:nvSpPr>
        <xdr:cNvPr id="83" name="Line 83"/>
        <xdr:cNvSpPr>
          <a:spLocks/>
        </xdr:cNvSpPr>
      </xdr:nvSpPr>
      <xdr:spPr>
        <a:xfrm>
          <a:off x="4171950" y="43815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76200</xdr:rowOff>
    </xdr:from>
    <xdr:to>
      <xdr:col>7</xdr:col>
      <xdr:colOff>352425</xdr:colOff>
      <xdr:row>2</xdr:row>
      <xdr:rowOff>76200</xdr:rowOff>
    </xdr:to>
    <xdr:sp>
      <xdr:nvSpPr>
        <xdr:cNvPr id="84" name="Line 84"/>
        <xdr:cNvSpPr>
          <a:spLocks/>
        </xdr:cNvSpPr>
      </xdr:nvSpPr>
      <xdr:spPr>
        <a:xfrm flipH="1">
          <a:off x="3752850" y="43815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</xdr:row>
      <xdr:rowOff>0</xdr:rowOff>
    </xdr:from>
    <xdr:to>
      <xdr:col>7</xdr:col>
      <xdr:colOff>200025</xdr:colOff>
      <xdr:row>8</xdr:row>
      <xdr:rowOff>66675</xdr:rowOff>
    </xdr:to>
    <xdr:sp>
      <xdr:nvSpPr>
        <xdr:cNvPr id="85" name="Line 85"/>
        <xdr:cNvSpPr>
          <a:spLocks/>
        </xdr:cNvSpPr>
      </xdr:nvSpPr>
      <xdr:spPr>
        <a:xfrm>
          <a:off x="3857625" y="1076325"/>
          <a:ext cx="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7</xdr:col>
      <xdr:colOff>457200</xdr:colOff>
      <xdr:row>5</xdr:row>
      <xdr:rowOff>0</xdr:rowOff>
    </xdr:to>
    <xdr:sp>
      <xdr:nvSpPr>
        <xdr:cNvPr id="86" name="Line 86"/>
        <xdr:cNvSpPr>
          <a:spLocks/>
        </xdr:cNvSpPr>
      </xdr:nvSpPr>
      <xdr:spPr>
        <a:xfrm>
          <a:off x="3667125" y="1076325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8448675" y="17145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7077075" y="17907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5</xdr:row>
      <xdr:rowOff>0</xdr:rowOff>
    </xdr:from>
    <xdr:to>
      <xdr:col>17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>
          <a:off x="7943850" y="1076325"/>
          <a:ext cx="504825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9525</xdr:rowOff>
    </xdr:from>
    <xdr:to>
      <xdr:col>18</xdr:col>
      <xdr:colOff>0</xdr:colOff>
      <xdr:row>9</xdr:row>
      <xdr:rowOff>0</xdr:rowOff>
    </xdr:to>
    <xdr:sp>
      <xdr:nvSpPr>
        <xdr:cNvPr id="90" name="Line 90"/>
        <xdr:cNvSpPr>
          <a:spLocks/>
        </xdr:cNvSpPr>
      </xdr:nvSpPr>
      <xdr:spPr>
        <a:xfrm>
          <a:off x="8591550" y="17145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523875</xdr:colOff>
      <xdr:row>8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8591550" y="1076325"/>
          <a:ext cx="523875" cy="638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9</xdr:row>
      <xdr:rowOff>0</xdr:rowOff>
    </xdr:from>
    <xdr:to>
      <xdr:col>20</xdr:col>
      <xdr:colOff>333375</xdr:colOff>
      <xdr:row>9</xdr:row>
      <xdr:rowOff>0</xdr:rowOff>
    </xdr:to>
    <xdr:sp>
      <xdr:nvSpPr>
        <xdr:cNvPr id="92" name="Line 92"/>
        <xdr:cNvSpPr>
          <a:spLocks/>
        </xdr:cNvSpPr>
      </xdr:nvSpPr>
      <xdr:spPr>
        <a:xfrm>
          <a:off x="8343900" y="17907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9525</xdr:rowOff>
    </xdr:from>
    <xdr:to>
      <xdr:col>18</xdr:col>
      <xdr:colOff>0</xdr:colOff>
      <xdr:row>7</xdr:row>
      <xdr:rowOff>57150</xdr:rowOff>
    </xdr:to>
    <xdr:sp>
      <xdr:nvSpPr>
        <xdr:cNvPr id="93" name="Line 93"/>
        <xdr:cNvSpPr>
          <a:spLocks/>
        </xdr:cNvSpPr>
      </xdr:nvSpPr>
      <xdr:spPr>
        <a:xfrm>
          <a:off x="8591550" y="6477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4</xdr:row>
      <xdr:rowOff>85725</xdr:rowOff>
    </xdr:from>
    <xdr:to>
      <xdr:col>19</xdr:col>
      <xdr:colOff>247650</xdr:colOff>
      <xdr:row>4</xdr:row>
      <xdr:rowOff>381000</xdr:rowOff>
    </xdr:to>
    <xdr:sp>
      <xdr:nvSpPr>
        <xdr:cNvPr id="94" name="Line 94"/>
        <xdr:cNvSpPr>
          <a:spLocks/>
        </xdr:cNvSpPr>
      </xdr:nvSpPr>
      <xdr:spPr>
        <a:xfrm flipV="1">
          <a:off x="9153525" y="723900"/>
          <a:ext cx="2095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104775</xdr:rowOff>
    </xdr:from>
    <xdr:to>
      <xdr:col>18</xdr:col>
      <xdr:colOff>390525</xdr:colOff>
      <xdr:row>5</xdr:row>
      <xdr:rowOff>190500</xdr:rowOff>
    </xdr:to>
    <xdr:sp>
      <xdr:nvSpPr>
        <xdr:cNvPr id="95" name="Freeform 95"/>
        <xdr:cNvSpPr>
          <a:spLocks/>
        </xdr:cNvSpPr>
      </xdr:nvSpPr>
      <xdr:spPr>
        <a:xfrm>
          <a:off x="8591550" y="1181100"/>
          <a:ext cx="390525" cy="95250"/>
        </a:xfrm>
        <a:custGeom>
          <a:pathLst>
            <a:path h="7" w="23">
              <a:moveTo>
                <a:pt x="0" y="1"/>
              </a:moveTo>
              <a:cubicBezTo>
                <a:pt x="4" y="0"/>
                <a:pt x="8" y="0"/>
                <a:pt x="12" y="1"/>
              </a:cubicBezTo>
              <a:cubicBezTo>
                <a:pt x="16" y="2"/>
                <a:pt x="21" y="6"/>
                <a:pt x="2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96" name="Line 96"/>
        <xdr:cNvSpPr>
          <a:spLocks/>
        </xdr:cNvSpPr>
      </xdr:nvSpPr>
      <xdr:spPr>
        <a:xfrm>
          <a:off x="8267700" y="19526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323850</xdr:colOff>
      <xdr:row>10</xdr:row>
      <xdr:rowOff>0</xdr:rowOff>
    </xdr:to>
    <xdr:sp>
      <xdr:nvSpPr>
        <xdr:cNvPr id="97" name="Line 97"/>
        <xdr:cNvSpPr>
          <a:spLocks/>
        </xdr:cNvSpPr>
      </xdr:nvSpPr>
      <xdr:spPr>
        <a:xfrm>
          <a:off x="8591550" y="19526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8</xdr:row>
      <xdr:rowOff>0</xdr:rowOff>
    </xdr:from>
    <xdr:to>
      <xdr:col>19</xdr:col>
      <xdr:colOff>200025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>
          <a:off x="8724900" y="1704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7</xdr:row>
      <xdr:rowOff>0</xdr:rowOff>
    </xdr:from>
    <xdr:to>
      <xdr:col>19</xdr:col>
      <xdr:colOff>114300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>
          <a:off x="9229725" y="1495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9</xdr:row>
      <xdr:rowOff>9525</xdr:rowOff>
    </xdr:from>
    <xdr:to>
      <xdr:col>19</xdr:col>
      <xdr:colOff>114300</xdr:colOff>
      <xdr:row>10</xdr:row>
      <xdr:rowOff>28575</xdr:rowOff>
    </xdr:to>
    <xdr:sp>
      <xdr:nvSpPr>
        <xdr:cNvPr id="100" name="Line 100"/>
        <xdr:cNvSpPr>
          <a:spLocks/>
        </xdr:cNvSpPr>
      </xdr:nvSpPr>
      <xdr:spPr>
        <a:xfrm>
          <a:off x="9229725" y="18002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4</xdr:row>
      <xdr:rowOff>342900</xdr:rowOff>
    </xdr:from>
    <xdr:to>
      <xdr:col>15</xdr:col>
      <xdr:colOff>542925</xdr:colOff>
      <xdr:row>4</xdr:row>
      <xdr:rowOff>419100</xdr:rowOff>
    </xdr:to>
    <xdr:sp>
      <xdr:nvSpPr>
        <xdr:cNvPr id="101" name="Line 101"/>
        <xdr:cNvSpPr>
          <a:spLocks/>
        </xdr:cNvSpPr>
      </xdr:nvSpPr>
      <xdr:spPr>
        <a:xfrm flipV="1">
          <a:off x="7820025" y="981075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523875</xdr:colOff>
      <xdr:row>4</xdr:row>
      <xdr:rowOff>342900</xdr:rowOff>
    </xdr:from>
    <xdr:to>
      <xdr:col>19</xdr:col>
      <xdr:colOff>104775</xdr:colOff>
      <xdr:row>5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9115425" y="98107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5</xdr:row>
      <xdr:rowOff>0</xdr:rowOff>
    </xdr:from>
    <xdr:to>
      <xdr:col>20</xdr:col>
      <xdr:colOff>304800</xdr:colOff>
      <xdr:row>5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6991350" y="10763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5</xdr:row>
      <xdr:rowOff>9525</xdr:rowOff>
    </xdr:from>
    <xdr:to>
      <xdr:col>19</xdr:col>
      <xdr:colOff>314325</xdr:colOff>
      <xdr:row>9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9429750" y="10858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10</xdr:row>
      <xdr:rowOff>142875</xdr:rowOff>
    </xdr:to>
    <xdr:sp>
      <xdr:nvSpPr>
        <xdr:cNvPr id="105" name="Line 105"/>
        <xdr:cNvSpPr>
          <a:spLocks/>
        </xdr:cNvSpPr>
      </xdr:nvSpPr>
      <xdr:spPr>
        <a:xfrm>
          <a:off x="8591550" y="1866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76200</xdr:rowOff>
    </xdr:from>
    <xdr:to>
      <xdr:col>17</xdr:col>
      <xdr:colOff>0</xdr:colOff>
      <xdr:row>10</xdr:row>
      <xdr:rowOff>142875</xdr:rowOff>
    </xdr:to>
    <xdr:sp>
      <xdr:nvSpPr>
        <xdr:cNvPr id="106" name="Line 106"/>
        <xdr:cNvSpPr>
          <a:spLocks/>
        </xdr:cNvSpPr>
      </xdr:nvSpPr>
      <xdr:spPr>
        <a:xfrm>
          <a:off x="8448675" y="1866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3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8448675" y="2000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28575</xdr:rowOff>
    </xdr:from>
    <xdr:to>
      <xdr:col>16</xdr:col>
      <xdr:colOff>0</xdr:colOff>
      <xdr:row>4</xdr:row>
      <xdr:rowOff>314325</xdr:rowOff>
    </xdr:to>
    <xdr:sp>
      <xdr:nvSpPr>
        <xdr:cNvPr id="108" name="Line 108"/>
        <xdr:cNvSpPr>
          <a:spLocks/>
        </xdr:cNvSpPr>
      </xdr:nvSpPr>
      <xdr:spPr>
        <a:xfrm flipV="1">
          <a:off x="7934325" y="2286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2</xdr:row>
      <xdr:rowOff>9525</xdr:rowOff>
    </xdr:from>
    <xdr:to>
      <xdr:col>16</xdr:col>
      <xdr:colOff>0</xdr:colOff>
      <xdr:row>2</xdr:row>
      <xdr:rowOff>9525</xdr:rowOff>
    </xdr:to>
    <xdr:sp>
      <xdr:nvSpPr>
        <xdr:cNvPr id="109" name="Line 109"/>
        <xdr:cNvSpPr>
          <a:spLocks/>
        </xdr:cNvSpPr>
      </xdr:nvSpPr>
      <xdr:spPr>
        <a:xfrm flipH="1">
          <a:off x="7639050" y="371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0</xdr:rowOff>
    </xdr:from>
    <xdr:to>
      <xdr:col>18</xdr:col>
      <xdr:colOff>19050</xdr:colOff>
      <xdr:row>2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58200" y="361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18</xdr:col>
      <xdr:colOff>0</xdr:colOff>
      <xdr:row>9</xdr:row>
      <xdr:rowOff>38100</xdr:rowOff>
    </xdr:to>
    <xdr:sp>
      <xdr:nvSpPr>
        <xdr:cNvPr id="111" name="Arc 111"/>
        <xdr:cNvSpPr>
          <a:spLocks/>
        </xdr:cNvSpPr>
      </xdr:nvSpPr>
      <xdr:spPr>
        <a:xfrm flipV="1">
          <a:off x="8448675" y="1800225"/>
          <a:ext cx="142875" cy="28575"/>
        </a:xfrm>
        <a:custGeom>
          <a:pathLst>
            <a:path fill="none" h="21600" w="43200">
              <a:moveTo>
                <a:pt x="0" y="21600"/>
              </a:moveTo>
              <a:cubicBezTo>
                <a:pt x="0" y="9670"/>
                <a:pt x="9670" y="0"/>
                <a:pt x="21600" y="0"/>
              </a:cubicBezTo>
              <a:cubicBezTo>
                <a:pt x="-32007" y="0"/>
                <a:pt x="-22336" y="9670"/>
                <a:pt x="-22336" y="21600"/>
              </a:cubicBezTo>
            </a:path>
            <a:path stroke="0" h="21600" w="43200">
              <a:moveTo>
                <a:pt x="0" y="21600"/>
              </a:moveTo>
              <a:cubicBezTo>
                <a:pt x="0" y="9670"/>
                <a:pt x="9670" y="0"/>
                <a:pt x="21600" y="0"/>
              </a:cubicBezTo>
              <a:cubicBezTo>
                <a:pt x="-32007" y="0"/>
                <a:pt x="-22336" y="9670"/>
                <a:pt x="-22336" y="21600"/>
              </a:cubicBez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4</xdr:row>
      <xdr:rowOff>38100</xdr:rowOff>
    </xdr:from>
    <xdr:to>
      <xdr:col>15</xdr:col>
      <xdr:colOff>447675</xdr:colOff>
      <xdr:row>4</xdr:row>
      <xdr:rowOff>276225</xdr:rowOff>
    </xdr:to>
    <xdr:sp>
      <xdr:nvSpPr>
        <xdr:cNvPr id="112" name="Line 112"/>
        <xdr:cNvSpPr>
          <a:spLocks/>
        </xdr:cNvSpPr>
      </xdr:nvSpPr>
      <xdr:spPr>
        <a:xfrm flipH="1" flipV="1">
          <a:off x="7677150" y="676275"/>
          <a:ext cx="1524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542925</xdr:colOff>
      <xdr:row>4</xdr:row>
      <xdr:rowOff>342900</xdr:rowOff>
    </xdr:from>
    <xdr:to>
      <xdr:col>18</xdr:col>
      <xdr:colOff>523875</xdr:colOff>
      <xdr:row>4</xdr:row>
      <xdr:rowOff>342900</xdr:rowOff>
    </xdr:to>
    <xdr:sp>
      <xdr:nvSpPr>
        <xdr:cNvPr id="113" name="Line 113"/>
        <xdr:cNvSpPr>
          <a:spLocks/>
        </xdr:cNvSpPr>
      </xdr:nvSpPr>
      <xdr:spPr>
        <a:xfrm>
          <a:off x="7924800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4</xdr:row>
      <xdr:rowOff>219075</xdr:rowOff>
    </xdr:from>
    <xdr:to>
      <xdr:col>14</xdr:col>
      <xdr:colOff>28575</xdr:colOff>
      <xdr:row>4</xdr:row>
      <xdr:rowOff>342900</xdr:rowOff>
    </xdr:to>
    <xdr:sp>
      <xdr:nvSpPr>
        <xdr:cNvPr id="114" name="Line 114"/>
        <xdr:cNvSpPr>
          <a:spLocks/>
        </xdr:cNvSpPr>
      </xdr:nvSpPr>
      <xdr:spPr>
        <a:xfrm>
          <a:off x="6781800" y="857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5</xdr:row>
      <xdr:rowOff>0</xdr:rowOff>
    </xdr:from>
    <xdr:to>
      <xdr:col>14</xdr:col>
      <xdr:colOff>28575</xdr:colOff>
      <xdr:row>5</xdr:row>
      <xdr:rowOff>171450</xdr:rowOff>
    </xdr:to>
    <xdr:sp>
      <xdr:nvSpPr>
        <xdr:cNvPr id="115" name="Line 115"/>
        <xdr:cNvSpPr>
          <a:spLocks/>
        </xdr:cNvSpPr>
      </xdr:nvSpPr>
      <xdr:spPr>
        <a:xfrm flipH="1">
          <a:off x="6772275" y="10763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4</xdr:row>
      <xdr:rowOff>342900</xdr:rowOff>
    </xdr:from>
    <xdr:to>
      <xdr:col>15</xdr:col>
      <xdr:colOff>47625</xdr:colOff>
      <xdr:row>4</xdr:row>
      <xdr:rowOff>342900</xdr:rowOff>
    </xdr:to>
    <xdr:sp>
      <xdr:nvSpPr>
        <xdr:cNvPr id="116" name="Line 116"/>
        <xdr:cNvSpPr>
          <a:spLocks/>
        </xdr:cNvSpPr>
      </xdr:nvSpPr>
      <xdr:spPr>
        <a:xfrm>
          <a:off x="6753225" y="981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7</xdr:row>
      <xdr:rowOff>19050</xdr:rowOff>
    </xdr:from>
    <xdr:to>
      <xdr:col>14</xdr:col>
      <xdr:colOff>323850</xdr:colOff>
      <xdr:row>7</xdr:row>
      <xdr:rowOff>161925</xdr:rowOff>
    </xdr:to>
    <xdr:sp>
      <xdr:nvSpPr>
        <xdr:cNvPr id="117" name="Line 117"/>
        <xdr:cNvSpPr>
          <a:spLocks/>
        </xdr:cNvSpPr>
      </xdr:nvSpPr>
      <xdr:spPr>
        <a:xfrm>
          <a:off x="6867525" y="1514475"/>
          <a:ext cx="20955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6</xdr:row>
      <xdr:rowOff>38100</xdr:rowOff>
    </xdr:from>
    <xdr:to>
      <xdr:col>14</xdr:col>
      <xdr:colOff>466725</xdr:colOff>
      <xdr:row>7</xdr:row>
      <xdr:rowOff>9525</xdr:rowOff>
    </xdr:to>
    <xdr:sp>
      <xdr:nvSpPr>
        <xdr:cNvPr id="118" name="Line 118"/>
        <xdr:cNvSpPr>
          <a:spLocks/>
        </xdr:cNvSpPr>
      </xdr:nvSpPr>
      <xdr:spPr>
        <a:xfrm flipV="1">
          <a:off x="6858000" y="1323975"/>
          <a:ext cx="36195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5</xdr:row>
      <xdr:rowOff>142875</xdr:rowOff>
    </xdr:from>
    <xdr:to>
      <xdr:col>14</xdr:col>
      <xdr:colOff>466725</xdr:colOff>
      <xdr:row>6</xdr:row>
      <xdr:rowOff>38100</xdr:rowOff>
    </xdr:to>
    <xdr:sp>
      <xdr:nvSpPr>
        <xdr:cNvPr id="119" name="Line 119"/>
        <xdr:cNvSpPr>
          <a:spLocks/>
        </xdr:cNvSpPr>
      </xdr:nvSpPr>
      <xdr:spPr>
        <a:xfrm flipH="1" flipV="1">
          <a:off x="6991350" y="1219200"/>
          <a:ext cx="228600" cy="104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5</xdr:row>
      <xdr:rowOff>0</xdr:rowOff>
    </xdr:from>
    <xdr:to>
      <xdr:col>14</xdr:col>
      <xdr:colOff>238125</xdr:colOff>
      <xdr:row>5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6991350" y="10763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7</xdr:row>
      <xdr:rowOff>152400</xdr:rowOff>
    </xdr:from>
    <xdr:to>
      <xdr:col>14</xdr:col>
      <xdr:colOff>323850</xdr:colOff>
      <xdr:row>8</xdr:row>
      <xdr:rowOff>76200</xdr:rowOff>
    </xdr:to>
    <xdr:sp>
      <xdr:nvSpPr>
        <xdr:cNvPr id="121" name="Line 121"/>
        <xdr:cNvSpPr>
          <a:spLocks/>
        </xdr:cNvSpPr>
      </xdr:nvSpPr>
      <xdr:spPr>
        <a:xfrm>
          <a:off x="7077075" y="1647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7</xdr:row>
      <xdr:rowOff>19050</xdr:rowOff>
    </xdr:from>
    <xdr:to>
      <xdr:col>20</xdr:col>
      <xdr:colOff>314325</xdr:colOff>
      <xdr:row>7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9810750" y="1514475"/>
          <a:ext cx="200025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6</xdr:row>
      <xdr:rowOff>38100</xdr:rowOff>
    </xdr:from>
    <xdr:to>
      <xdr:col>20</xdr:col>
      <xdr:colOff>466725</xdr:colOff>
      <xdr:row>7</xdr:row>
      <xdr:rowOff>9525</xdr:rowOff>
    </xdr:to>
    <xdr:sp>
      <xdr:nvSpPr>
        <xdr:cNvPr id="123" name="Line 123"/>
        <xdr:cNvSpPr>
          <a:spLocks/>
        </xdr:cNvSpPr>
      </xdr:nvSpPr>
      <xdr:spPr>
        <a:xfrm flipV="1">
          <a:off x="9801225" y="1323975"/>
          <a:ext cx="36195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5</xdr:row>
      <xdr:rowOff>142875</xdr:rowOff>
    </xdr:from>
    <xdr:to>
      <xdr:col>20</xdr:col>
      <xdr:colOff>466725</xdr:colOff>
      <xdr:row>6</xdr:row>
      <xdr:rowOff>38100</xdr:rowOff>
    </xdr:to>
    <xdr:sp>
      <xdr:nvSpPr>
        <xdr:cNvPr id="124" name="Line 124"/>
        <xdr:cNvSpPr>
          <a:spLocks/>
        </xdr:cNvSpPr>
      </xdr:nvSpPr>
      <xdr:spPr>
        <a:xfrm flipH="1" flipV="1">
          <a:off x="10001250" y="1219200"/>
          <a:ext cx="161925" cy="104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5</xdr:row>
      <xdr:rowOff>0</xdr:rowOff>
    </xdr:from>
    <xdr:to>
      <xdr:col>20</xdr:col>
      <xdr:colOff>304800</xdr:colOff>
      <xdr:row>5</xdr:row>
      <xdr:rowOff>142875</xdr:rowOff>
    </xdr:to>
    <xdr:sp>
      <xdr:nvSpPr>
        <xdr:cNvPr id="125" name="Line 125"/>
        <xdr:cNvSpPr>
          <a:spLocks/>
        </xdr:cNvSpPr>
      </xdr:nvSpPr>
      <xdr:spPr>
        <a:xfrm>
          <a:off x="10001250" y="10763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7</xdr:row>
      <xdr:rowOff>152400</xdr:rowOff>
    </xdr:from>
    <xdr:to>
      <xdr:col>20</xdr:col>
      <xdr:colOff>323850</xdr:colOff>
      <xdr:row>8</xdr:row>
      <xdr:rowOff>76200</xdr:rowOff>
    </xdr:to>
    <xdr:sp>
      <xdr:nvSpPr>
        <xdr:cNvPr id="126" name="Line 126"/>
        <xdr:cNvSpPr>
          <a:spLocks/>
        </xdr:cNvSpPr>
      </xdr:nvSpPr>
      <xdr:spPr>
        <a:xfrm>
          <a:off x="10020300" y="1647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115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229350" y="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18</xdr:col>
      <xdr:colOff>285750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238875" y="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87730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622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466725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1722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0</xdr:row>
      <xdr:rowOff>0</xdr:rowOff>
    </xdr:from>
    <xdr:to>
      <xdr:col>13</xdr:col>
      <xdr:colOff>123825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616267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0</xdr:row>
      <xdr:rowOff>0</xdr:rowOff>
    </xdr:from>
    <xdr:to>
      <xdr:col>13</xdr:col>
      <xdr:colOff>114300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622935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1" name="Freeform 21"/>
        <xdr:cNvSpPr>
          <a:spLocks/>
        </xdr:cNvSpPr>
      </xdr:nvSpPr>
      <xdr:spPr>
        <a:xfrm>
          <a:off x="10858500" y="0"/>
          <a:ext cx="0" cy="0"/>
        </a:xfrm>
        <a:custGeom>
          <a:pathLst>
            <a:path h="7" w="23">
              <a:moveTo>
                <a:pt x="0" y="1"/>
              </a:moveTo>
              <a:cubicBezTo>
                <a:pt x="4" y="0"/>
                <a:pt x="8" y="0"/>
                <a:pt x="12" y="1"/>
              </a:cubicBezTo>
              <a:cubicBezTo>
                <a:pt x="16" y="2"/>
                <a:pt x="21" y="6"/>
                <a:pt x="2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0</xdr:row>
      <xdr:rowOff>0</xdr:rowOff>
    </xdr:from>
    <xdr:to>
      <xdr:col>18</xdr:col>
      <xdr:colOff>257175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87534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247650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8839200" y="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461962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474345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</xdr:row>
      <xdr:rowOff>0</xdr:rowOff>
    </xdr:from>
    <xdr:to>
      <xdr:col>5</xdr:col>
      <xdr:colOff>428625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320992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320992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474345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474345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461962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461962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200025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437197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9525</xdr:rowOff>
    </xdr:from>
    <xdr:to>
      <xdr:col>9</xdr:col>
      <xdr:colOff>0</xdr:colOff>
      <xdr:row>9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4619625" y="1714500"/>
          <a:ext cx="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3209925" y="1790700"/>
          <a:ext cx="1409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</xdr:row>
      <xdr:rowOff>0</xdr:rowOff>
    </xdr:from>
    <xdr:to>
      <xdr:col>8</xdr:col>
      <xdr:colOff>171450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219450" y="638175"/>
          <a:ext cx="1123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>
          <a:off x="4171950" y="1076325"/>
          <a:ext cx="447675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9525</xdr:rowOff>
    </xdr:from>
    <xdr:to>
      <xdr:col>10</xdr:col>
      <xdr:colOff>0</xdr:colOff>
      <xdr:row>9</xdr:row>
      <xdr:rowOff>0</xdr:rowOff>
    </xdr:to>
    <xdr:sp>
      <xdr:nvSpPr>
        <xdr:cNvPr id="39" name="Line 39"/>
        <xdr:cNvSpPr>
          <a:spLocks/>
        </xdr:cNvSpPr>
      </xdr:nvSpPr>
      <xdr:spPr>
        <a:xfrm>
          <a:off x="4743450" y="1714500"/>
          <a:ext cx="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447675</xdr:colOff>
      <xdr:row>8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4743450" y="1076325"/>
          <a:ext cx="447675" cy="638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4752975" y="638175"/>
          <a:ext cx="147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13</xdr:col>
      <xdr:colOff>0</xdr:colOff>
      <xdr:row>9</xdr:row>
      <xdr:rowOff>0</xdr:rowOff>
    </xdr:to>
    <xdr:sp>
      <xdr:nvSpPr>
        <xdr:cNvPr id="42" name="Line 42"/>
        <xdr:cNvSpPr>
          <a:spLocks/>
        </xdr:cNvSpPr>
      </xdr:nvSpPr>
      <xdr:spPr>
        <a:xfrm>
          <a:off x="4743450" y="179070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9525</xdr:rowOff>
    </xdr:to>
    <xdr:sp>
      <xdr:nvSpPr>
        <xdr:cNvPr id="43" name="Line 43"/>
        <xdr:cNvSpPr>
          <a:spLocks/>
        </xdr:cNvSpPr>
      </xdr:nvSpPr>
      <xdr:spPr>
        <a:xfrm>
          <a:off x="3209925" y="647700"/>
          <a:ext cx="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44" name="Line 44"/>
        <xdr:cNvSpPr>
          <a:spLocks/>
        </xdr:cNvSpPr>
      </xdr:nvSpPr>
      <xdr:spPr>
        <a:xfrm>
          <a:off x="3209925" y="1714500"/>
          <a:ext cx="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7</xdr:row>
      <xdr:rowOff>19050</xdr:rowOff>
    </xdr:from>
    <xdr:to>
      <xdr:col>5</xdr:col>
      <xdr:colOff>419100</xdr:colOff>
      <xdr:row>8</xdr:row>
      <xdr:rowOff>9525</xdr:rowOff>
    </xdr:to>
    <xdr:sp>
      <xdr:nvSpPr>
        <xdr:cNvPr id="45" name="Line 45"/>
        <xdr:cNvSpPr>
          <a:spLocks/>
        </xdr:cNvSpPr>
      </xdr:nvSpPr>
      <xdr:spPr>
        <a:xfrm>
          <a:off x="3000375" y="1514475"/>
          <a:ext cx="200025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</xdr:row>
      <xdr:rowOff>142875</xdr:rowOff>
    </xdr:from>
    <xdr:to>
      <xdr:col>6</xdr:col>
      <xdr:colOff>180975</xdr:colOff>
      <xdr:row>7</xdr:row>
      <xdr:rowOff>9525</xdr:rowOff>
    </xdr:to>
    <xdr:sp>
      <xdr:nvSpPr>
        <xdr:cNvPr id="46" name="Line 46"/>
        <xdr:cNvSpPr>
          <a:spLocks/>
        </xdr:cNvSpPr>
      </xdr:nvSpPr>
      <xdr:spPr>
        <a:xfrm flipV="1">
          <a:off x="3000375" y="1219200"/>
          <a:ext cx="39052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161925</xdr:colOff>
      <xdr:row>5</xdr:row>
      <xdr:rowOff>142875</xdr:rowOff>
    </xdr:to>
    <xdr:sp>
      <xdr:nvSpPr>
        <xdr:cNvPr id="47" name="Line 47"/>
        <xdr:cNvSpPr>
          <a:spLocks/>
        </xdr:cNvSpPr>
      </xdr:nvSpPr>
      <xdr:spPr>
        <a:xfrm flipH="1" flipV="1">
          <a:off x="3209925" y="1076325"/>
          <a:ext cx="161925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4</xdr:row>
      <xdr:rowOff>9525</xdr:rowOff>
    </xdr:from>
    <xdr:to>
      <xdr:col>12</xdr:col>
      <xdr:colOff>523875</xdr:colOff>
      <xdr:row>5</xdr:row>
      <xdr:rowOff>9525</xdr:rowOff>
    </xdr:to>
    <xdr:sp>
      <xdr:nvSpPr>
        <xdr:cNvPr id="48" name="Line 48"/>
        <xdr:cNvSpPr>
          <a:spLocks/>
        </xdr:cNvSpPr>
      </xdr:nvSpPr>
      <xdr:spPr>
        <a:xfrm>
          <a:off x="6229350" y="647700"/>
          <a:ext cx="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76200</xdr:rowOff>
    </xdr:to>
    <xdr:sp>
      <xdr:nvSpPr>
        <xdr:cNvPr id="49" name="Line 49"/>
        <xdr:cNvSpPr>
          <a:spLocks/>
        </xdr:cNvSpPr>
      </xdr:nvSpPr>
      <xdr:spPr>
        <a:xfrm flipH="1">
          <a:off x="6229350" y="1704975"/>
          <a:ext cx="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7</xdr:row>
      <xdr:rowOff>9525</xdr:rowOff>
    </xdr:from>
    <xdr:to>
      <xdr:col>13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>
          <a:off x="6076950" y="1504950"/>
          <a:ext cx="15240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5</xdr:row>
      <xdr:rowOff>104775</xdr:rowOff>
    </xdr:from>
    <xdr:to>
      <xdr:col>13</xdr:col>
      <xdr:colOff>180975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6067425" y="1181100"/>
          <a:ext cx="34290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171450</xdr:colOff>
      <xdr:row>5</xdr:row>
      <xdr:rowOff>114300</xdr:rowOff>
    </xdr:to>
    <xdr:sp>
      <xdr:nvSpPr>
        <xdr:cNvPr id="52" name="Line 52"/>
        <xdr:cNvSpPr>
          <a:spLocks/>
        </xdr:cNvSpPr>
      </xdr:nvSpPr>
      <xdr:spPr>
        <a:xfrm flipH="1" flipV="1">
          <a:off x="6229350" y="1076325"/>
          <a:ext cx="1714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7</xdr:row>
      <xdr:rowOff>57150</xdr:rowOff>
    </xdr:to>
    <xdr:sp>
      <xdr:nvSpPr>
        <xdr:cNvPr id="53" name="Line 53"/>
        <xdr:cNvSpPr>
          <a:spLocks/>
        </xdr:cNvSpPr>
      </xdr:nvSpPr>
      <xdr:spPr>
        <a:xfrm>
          <a:off x="4743450" y="390525"/>
          <a:ext cx="0" cy="11620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</xdr:row>
      <xdr:rowOff>0</xdr:rowOff>
    </xdr:from>
    <xdr:to>
      <xdr:col>11</xdr:col>
      <xdr:colOff>333375</xdr:colOff>
      <xdr:row>3</xdr:row>
      <xdr:rowOff>104775</xdr:rowOff>
    </xdr:to>
    <xdr:sp>
      <xdr:nvSpPr>
        <xdr:cNvPr id="54" name="Line 54"/>
        <xdr:cNvSpPr>
          <a:spLocks/>
        </xdr:cNvSpPr>
      </xdr:nvSpPr>
      <xdr:spPr>
        <a:xfrm flipV="1">
          <a:off x="5353050" y="200025"/>
          <a:ext cx="1714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95250</xdr:rowOff>
    </xdr:from>
    <xdr:to>
      <xdr:col>10</xdr:col>
      <xdr:colOff>333375</xdr:colOff>
      <xdr:row>5</xdr:row>
      <xdr:rowOff>161925</xdr:rowOff>
    </xdr:to>
    <xdr:sp>
      <xdr:nvSpPr>
        <xdr:cNvPr id="55" name="Freeform 55"/>
        <xdr:cNvSpPr>
          <a:spLocks/>
        </xdr:cNvSpPr>
      </xdr:nvSpPr>
      <xdr:spPr>
        <a:xfrm>
          <a:off x="4752975" y="1171575"/>
          <a:ext cx="323850" cy="66675"/>
        </a:xfrm>
        <a:custGeom>
          <a:pathLst>
            <a:path h="7" w="23">
              <a:moveTo>
                <a:pt x="0" y="1"/>
              </a:moveTo>
              <a:cubicBezTo>
                <a:pt x="4" y="0"/>
                <a:pt x="8" y="0"/>
                <a:pt x="12" y="1"/>
              </a:cubicBezTo>
              <a:cubicBezTo>
                <a:pt x="16" y="2"/>
                <a:pt x="21" y="6"/>
                <a:pt x="23" y="7"/>
              </a:cubicBez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56" name="Line 56"/>
        <xdr:cNvSpPr>
          <a:spLocks/>
        </xdr:cNvSpPr>
      </xdr:nvSpPr>
      <xdr:spPr>
        <a:xfrm>
          <a:off x="4467225" y="1952625"/>
          <a:ext cx="1524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219075</xdr:colOff>
      <xdr:row>10</xdr:row>
      <xdr:rowOff>0</xdr:rowOff>
    </xdr:to>
    <xdr:sp>
      <xdr:nvSpPr>
        <xdr:cNvPr id="57" name="Line 57"/>
        <xdr:cNvSpPr>
          <a:spLocks/>
        </xdr:cNvSpPr>
      </xdr:nvSpPr>
      <xdr:spPr>
        <a:xfrm>
          <a:off x="4743450" y="1952625"/>
          <a:ext cx="2190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8</xdr:row>
      <xdr:rowOff>0</xdr:rowOff>
    </xdr:from>
    <xdr:to>
      <xdr:col>12</xdr:col>
      <xdr:colOff>200025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>
          <a:off x="4876800" y="170497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7</xdr:row>
      <xdr:rowOff>0</xdr:rowOff>
    </xdr:from>
    <xdr:to>
      <xdr:col>11</xdr:col>
      <xdr:colOff>114300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>
          <a:off x="5305425" y="14954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9</xdr:row>
      <xdr:rowOff>9525</xdr:rowOff>
    </xdr:from>
    <xdr:to>
      <xdr:col>11</xdr:col>
      <xdr:colOff>114300</xdr:colOff>
      <xdr:row>10</xdr:row>
      <xdr:rowOff>28575</xdr:rowOff>
    </xdr:to>
    <xdr:sp>
      <xdr:nvSpPr>
        <xdr:cNvPr id="60" name="Line 60"/>
        <xdr:cNvSpPr>
          <a:spLocks/>
        </xdr:cNvSpPr>
      </xdr:nvSpPr>
      <xdr:spPr>
        <a:xfrm>
          <a:off x="5305425" y="18002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</xdr:row>
      <xdr:rowOff>0</xdr:rowOff>
    </xdr:from>
    <xdr:to>
      <xdr:col>7</xdr:col>
      <xdr:colOff>333375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3876675" y="523875"/>
          <a:ext cx="11430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3</xdr:row>
      <xdr:rowOff>0</xdr:rowOff>
    </xdr:from>
    <xdr:to>
      <xdr:col>11</xdr:col>
      <xdr:colOff>314325</xdr:colOff>
      <xdr:row>3</xdr:row>
      <xdr:rowOff>104775</xdr:rowOff>
    </xdr:to>
    <xdr:sp>
      <xdr:nvSpPr>
        <xdr:cNvPr id="62" name="Line 62"/>
        <xdr:cNvSpPr>
          <a:spLocks/>
        </xdr:cNvSpPr>
      </xdr:nvSpPr>
      <xdr:spPr>
        <a:xfrm flipH="1" flipV="1">
          <a:off x="5400675" y="523875"/>
          <a:ext cx="104775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</xdr:row>
      <xdr:rowOff>0</xdr:rowOff>
    </xdr:from>
    <xdr:to>
      <xdr:col>12</xdr:col>
      <xdr:colOff>247650</xdr:colOff>
      <xdr:row>3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3876675" y="523875"/>
          <a:ext cx="2076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9</xdr:row>
      <xdr:rowOff>0</xdr:rowOff>
    </xdr:to>
    <xdr:sp>
      <xdr:nvSpPr>
        <xdr:cNvPr id="64" name="Line 64"/>
        <xdr:cNvSpPr>
          <a:spLocks/>
        </xdr:cNvSpPr>
      </xdr:nvSpPr>
      <xdr:spPr>
        <a:xfrm>
          <a:off x="5705475" y="638175"/>
          <a:ext cx="0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76200</xdr:rowOff>
    </xdr:from>
    <xdr:to>
      <xdr:col>10</xdr:col>
      <xdr:colOff>0</xdr:colOff>
      <xdr:row>10</xdr:row>
      <xdr:rowOff>142875</xdr:rowOff>
    </xdr:to>
    <xdr:sp>
      <xdr:nvSpPr>
        <xdr:cNvPr id="65" name="Line 65"/>
        <xdr:cNvSpPr>
          <a:spLocks/>
        </xdr:cNvSpPr>
      </xdr:nvSpPr>
      <xdr:spPr>
        <a:xfrm>
          <a:off x="4743450" y="1866900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76200</xdr:rowOff>
    </xdr:from>
    <xdr:to>
      <xdr:col>9</xdr:col>
      <xdr:colOff>0</xdr:colOff>
      <xdr:row>10</xdr:row>
      <xdr:rowOff>142875</xdr:rowOff>
    </xdr:to>
    <xdr:sp>
      <xdr:nvSpPr>
        <xdr:cNvPr id="66" name="Line 66"/>
        <xdr:cNvSpPr>
          <a:spLocks/>
        </xdr:cNvSpPr>
      </xdr:nvSpPr>
      <xdr:spPr>
        <a:xfrm>
          <a:off x="4619625" y="1866900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3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4619625" y="2000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2</xdr:row>
      <xdr:rowOff>152400</xdr:rowOff>
    </xdr:to>
    <xdr:sp>
      <xdr:nvSpPr>
        <xdr:cNvPr id="68" name="Line 68"/>
        <xdr:cNvSpPr>
          <a:spLocks/>
        </xdr:cNvSpPr>
      </xdr:nvSpPr>
      <xdr:spPr>
        <a:xfrm flipV="1">
          <a:off x="4171950" y="20002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</xdr:row>
      <xdr:rowOff>85725</xdr:rowOff>
    </xdr:from>
    <xdr:to>
      <xdr:col>7</xdr:col>
      <xdr:colOff>504825</xdr:colOff>
      <xdr:row>1</xdr:row>
      <xdr:rowOff>85725</xdr:rowOff>
    </xdr:to>
    <xdr:sp>
      <xdr:nvSpPr>
        <xdr:cNvPr id="69" name="Line 69"/>
        <xdr:cNvSpPr>
          <a:spLocks/>
        </xdr:cNvSpPr>
      </xdr:nvSpPr>
      <xdr:spPr>
        <a:xfrm flipH="1">
          <a:off x="3905250" y="28575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10</xdr:col>
      <xdr:colOff>76200</xdr:colOff>
      <xdr:row>1</xdr:row>
      <xdr:rowOff>85725</xdr:rowOff>
    </xdr:to>
    <xdr:sp>
      <xdr:nvSpPr>
        <xdr:cNvPr id="70" name="Line 70"/>
        <xdr:cNvSpPr>
          <a:spLocks/>
        </xdr:cNvSpPr>
      </xdr:nvSpPr>
      <xdr:spPr>
        <a:xfrm>
          <a:off x="4619625" y="28575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2</xdr:row>
      <xdr:rowOff>19050</xdr:rowOff>
    </xdr:from>
    <xdr:to>
      <xdr:col>12</xdr:col>
      <xdr:colOff>295275</xdr:colOff>
      <xdr:row>2</xdr:row>
      <xdr:rowOff>152400</xdr:rowOff>
    </xdr:to>
    <xdr:sp>
      <xdr:nvSpPr>
        <xdr:cNvPr id="71" name="Line 71"/>
        <xdr:cNvSpPr>
          <a:spLocks/>
        </xdr:cNvSpPr>
      </xdr:nvSpPr>
      <xdr:spPr>
        <a:xfrm>
          <a:off x="6000750" y="38100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4</xdr:row>
      <xdr:rowOff>0</xdr:rowOff>
    </xdr:from>
    <xdr:to>
      <xdr:col>12</xdr:col>
      <xdr:colOff>295275</xdr:colOff>
      <xdr:row>4</xdr:row>
      <xdr:rowOff>180975</xdr:rowOff>
    </xdr:to>
    <xdr:sp>
      <xdr:nvSpPr>
        <xdr:cNvPr id="72" name="Line 72"/>
        <xdr:cNvSpPr>
          <a:spLocks/>
        </xdr:cNvSpPr>
      </xdr:nvSpPr>
      <xdr:spPr>
        <a:xfrm>
          <a:off x="6000750" y="63817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73" name="Line 73"/>
        <xdr:cNvSpPr>
          <a:spLocks/>
        </xdr:cNvSpPr>
      </xdr:nvSpPr>
      <xdr:spPr>
        <a:xfrm>
          <a:off x="4352925" y="63817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9525</xdr:rowOff>
    </xdr:from>
    <xdr:to>
      <xdr:col>10</xdr:col>
      <xdr:colOff>0</xdr:colOff>
      <xdr:row>9</xdr:row>
      <xdr:rowOff>38100</xdr:rowOff>
    </xdr:to>
    <xdr:sp>
      <xdr:nvSpPr>
        <xdr:cNvPr id="74" name="Arc 74"/>
        <xdr:cNvSpPr>
          <a:spLocks/>
        </xdr:cNvSpPr>
      </xdr:nvSpPr>
      <xdr:spPr>
        <a:xfrm flipV="1">
          <a:off x="4619625" y="1800225"/>
          <a:ext cx="123825" cy="28575"/>
        </a:xfrm>
        <a:custGeom>
          <a:pathLst>
            <a:path fill="none" h="21600" w="43200">
              <a:moveTo>
                <a:pt x="0" y="21600"/>
              </a:moveTo>
              <a:cubicBezTo>
                <a:pt x="0" y="9670"/>
                <a:pt x="9670" y="0"/>
                <a:pt x="21600" y="0"/>
              </a:cubicBezTo>
              <a:cubicBezTo>
                <a:pt x="-32007" y="0"/>
                <a:pt x="-22336" y="9670"/>
                <a:pt x="-22336" y="21600"/>
              </a:cubicBezTo>
            </a:path>
            <a:path stroke="0" h="21600" w="43200">
              <a:moveTo>
                <a:pt x="0" y="21600"/>
              </a:moveTo>
              <a:cubicBezTo>
                <a:pt x="0" y="9670"/>
                <a:pt x="9670" y="0"/>
                <a:pt x="21600" y="0"/>
              </a:cubicBezTo>
              <a:cubicBezTo>
                <a:pt x="-32007" y="0"/>
                <a:pt x="-22336" y="9670"/>
                <a:pt x="-22336" y="21600"/>
              </a:cubicBez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66675</xdr:colOff>
      <xdr:row>3</xdr:row>
      <xdr:rowOff>0</xdr:rowOff>
    </xdr:to>
    <xdr:sp>
      <xdr:nvSpPr>
        <xdr:cNvPr id="75" name="Line 75"/>
        <xdr:cNvSpPr>
          <a:spLocks/>
        </xdr:cNvSpPr>
      </xdr:nvSpPr>
      <xdr:spPr>
        <a:xfrm>
          <a:off x="5705475" y="52387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4</xdr:row>
      <xdr:rowOff>0</xdr:rowOff>
    </xdr:from>
    <xdr:to>
      <xdr:col>8</xdr:col>
      <xdr:colOff>0</xdr:colOff>
      <xdr:row>5</xdr:row>
      <xdr:rowOff>9525</xdr:rowOff>
    </xdr:to>
    <xdr:sp>
      <xdr:nvSpPr>
        <xdr:cNvPr id="76" name="Line 76"/>
        <xdr:cNvSpPr>
          <a:spLocks/>
        </xdr:cNvSpPr>
      </xdr:nvSpPr>
      <xdr:spPr>
        <a:xfrm flipH="1" flipV="1">
          <a:off x="4019550" y="638175"/>
          <a:ext cx="152400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9525</xdr:rowOff>
    </xdr:from>
    <xdr:to>
      <xdr:col>11</xdr:col>
      <xdr:colOff>152400</xdr:colOff>
      <xdr:row>5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5191125" y="647700"/>
          <a:ext cx="152400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78" name="Line 78"/>
        <xdr:cNvSpPr>
          <a:spLocks/>
        </xdr:cNvSpPr>
      </xdr:nvSpPr>
      <xdr:spPr>
        <a:xfrm>
          <a:off x="4181475" y="1076325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28575</xdr:rowOff>
    </xdr:from>
    <xdr:to>
      <xdr:col>11</xdr:col>
      <xdr:colOff>381000</xdr:colOff>
      <xdr:row>5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5200650" y="552450"/>
          <a:ext cx="371475" cy="5238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1</xdr:row>
      <xdr:rowOff>47625</xdr:rowOff>
    </xdr:from>
    <xdr:to>
      <xdr:col>10</xdr:col>
      <xdr:colOff>447675</xdr:colOff>
      <xdr:row>4</xdr:row>
      <xdr:rowOff>409575</xdr:rowOff>
    </xdr:to>
    <xdr:sp>
      <xdr:nvSpPr>
        <xdr:cNvPr id="80" name="Line 80"/>
        <xdr:cNvSpPr>
          <a:spLocks/>
        </xdr:cNvSpPr>
      </xdr:nvSpPr>
      <xdr:spPr>
        <a:xfrm flipV="1">
          <a:off x="5191125" y="247650"/>
          <a:ext cx="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66675</xdr:rowOff>
    </xdr:from>
    <xdr:to>
      <xdr:col>11</xdr:col>
      <xdr:colOff>219075</xdr:colOff>
      <xdr:row>2</xdr:row>
      <xdr:rowOff>114300</xdr:rowOff>
    </xdr:to>
    <xdr:sp>
      <xdr:nvSpPr>
        <xdr:cNvPr id="81" name="Freeform 81"/>
        <xdr:cNvSpPr>
          <a:spLocks/>
        </xdr:cNvSpPr>
      </xdr:nvSpPr>
      <xdr:spPr>
        <a:xfrm>
          <a:off x="5191125" y="428625"/>
          <a:ext cx="219075" cy="47625"/>
        </a:xfrm>
        <a:custGeom>
          <a:pathLst>
            <a:path h="7" w="23">
              <a:moveTo>
                <a:pt x="0" y="1"/>
              </a:moveTo>
              <a:cubicBezTo>
                <a:pt x="4" y="0"/>
                <a:pt x="8" y="0"/>
                <a:pt x="12" y="1"/>
              </a:cubicBezTo>
              <a:cubicBezTo>
                <a:pt x="16" y="2"/>
                <a:pt x="21" y="6"/>
                <a:pt x="23" y="7"/>
              </a:cubicBez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</xdr:row>
      <xdr:rowOff>161925</xdr:rowOff>
    </xdr:from>
    <xdr:to>
      <xdr:col>7</xdr:col>
      <xdr:colOff>352425</xdr:colOff>
      <xdr:row>2</xdr:row>
      <xdr:rowOff>152400</xdr:rowOff>
    </xdr:to>
    <xdr:sp>
      <xdr:nvSpPr>
        <xdr:cNvPr id="82" name="Line 82"/>
        <xdr:cNvSpPr>
          <a:spLocks/>
        </xdr:cNvSpPr>
      </xdr:nvSpPr>
      <xdr:spPr>
        <a:xfrm flipV="1">
          <a:off x="4010025" y="3619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76200</xdr:rowOff>
    </xdr:from>
    <xdr:to>
      <xdr:col>8</xdr:col>
      <xdr:colOff>200025</xdr:colOff>
      <xdr:row>2</xdr:row>
      <xdr:rowOff>76200</xdr:rowOff>
    </xdr:to>
    <xdr:sp>
      <xdr:nvSpPr>
        <xdr:cNvPr id="83" name="Line 83"/>
        <xdr:cNvSpPr>
          <a:spLocks/>
        </xdr:cNvSpPr>
      </xdr:nvSpPr>
      <xdr:spPr>
        <a:xfrm>
          <a:off x="4171950" y="43815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76200</xdr:rowOff>
    </xdr:from>
    <xdr:to>
      <xdr:col>7</xdr:col>
      <xdr:colOff>352425</xdr:colOff>
      <xdr:row>2</xdr:row>
      <xdr:rowOff>76200</xdr:rowOff>
    </xdr:to>
    <xdr:sp>
      <xdr:nvSpPr>
        <xdr:cNvPr id="84" name="Line 84"/>
        <xdr:cNvSpPr>
          <a:spLocks/>
        </xdr:cNvSpPr>
      </xdr:nvSpPr>
      <xdr:spPr>
        <a:xfrm flipH="1">
          <a:off x="3752850" y="438150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</xdr:row>
      <xdr:rowOff>0</xdr:rowOff>
    </xdr:from>
    <xdr:to>
      <xdr:col>7</xdr:col>
      <xdr:colOff>200025</xdr:colOff>
      <xdr:row>8</xdr:row>
      <xdr:rowOff>66675</xdr:rowOff>
    </xdr:to>
    <xdr:sp>
      <xdr:nvSpPr>
        <xdr:cNvPr id="85" name="Line 85"/>
        <xdr:cNvSpPr>
          <a:spLocks/>
        </xdr:cNvSpPr>
      </xdr:nvSpPr>
      <xdr:spPr>
        <a:xfrm>
          <a:off x="3857625" y="1076325"/>
          <a:ext cx="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7</xdr:col>
      <xdr:colOff>457200</xdr:colOff>
      <xdr:row>5</xdr:row>
      <xdr:rowOff>0</xdr:rowOff>
    </xdr:to>
    <xdr:sp>
      <xdr:nvSpPr>
        <xdr:cNvPr id="86" name="Line 86"/>
        <xdr:cNvSpPr>
          <a:spLocks/>
        </xdr:cNvSpPr>
      </xdr:nvSpPr>
      <xdr:spPr>
        <a:xfrm>
          <a:off x="3667125" y="1076325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9525</xdr:rowOff>
    </xdr:from>
    <xdr:to>
      <xdr:col>17</xdr:col>
      <xdr:colOff>0</xdr:colOff>
      <xdr:row>9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8448675" y="17145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9</xdr:row>
      <xdr:rowOff>0</xdr:rowOff>
    </xdr:from>
    <xdr:to>
      <xdr:col>17</xdr:col>
      <xdr:colOff>0</xdr:colOff>
      <xdr:row>9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7077075" y="179070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5</xdr:row>
      <xdr:rowOff>0</xdr:rowOff>
    </xdr:from>
    <xdr:to>
      <xdr:col>17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>
          <a:off x="7943850" y="1076325"/>
          <a:ext cx="504825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8</xdr:row>
      <xdr:rowOff>9525</xdr:rowOff>
    </xdr:from>
    <xdr:to>
      <xdr:col>18</xdr:col>
      <xdr:colOff>0</xdr:colOff>
      <xdr:row>9</xdr:row>
      <xdr:rowOff>0</xdr:rowOff>
    </xdr:to>
    <xdr:sp>
      <xdr:nvSpPr>
        <xdr:cNvPr id="90" name="Line 90"/>
        <xdr:cNvSpPr>
          <a:spLocks/>
        </xdr:cNvSpPr>
      </xdr:nvSpPr>
      <xdr:spPr>
        <a:xfrm>
          <a:off x="8591550" y="17145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523875</xdr:colOff>
      <xdr:row>8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8591550" y="1076325"/>
          <a:ext cx="523875" cy="638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9</xdr:row>
      <xdr:rowOff>0</xdr:rowOff>
    </xdr:from>
    <xdr:to>
      <xdr:col>20</xdr:col>
      <xdr:colOff>333375</xdr:colOff>
      <xdr:row>9</xdr:row>
      <xdr:rowOff>0</xdr:rowOff>
    </xdr:to>
    <xdr:sp>
      <xdr:nvSpPr>
        <xdr:cNvPr id="92" name="Line 92"/>
        <xdr:cNvSpPr>
          <a:spLocks/>
        </xdr:cNvSpPr>
      </xdr:nvSpPr>
      <xdr:spPr>
        <a:xfrm>
          <a:off x="8343900" y="17907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9525</xdr:rowOff>
    </xdr:from>
    <xdr:to>
      <xdr:col>18</xdr:col>
      <xdr:colOff>0</xdr:colOff>
      <xdr:row>7</xdr:row>
      <xdr:rowOff>57150</xdr:rowOff>
    </xdr:to>
    <xdr:sp>
      <xdr:nvSpPr>
        <xdr:cNvPr id="93" name="Line 93"/>
        <xdr:cNvSpPr>
          <a:spLocks/>
        </xdr:cNvSpPr>
      </xdr:nvSpPr>
      <xdr:spPr>
        <a:xfrm>
          <a:off x="8591550" y="6477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4</xdr:row>
      <xdr:rowOff>85725</xdr:rowOff>
    </xdr:from>
    <xdr:to>
      <xdr:col>19</xdr:col>
      <xdr:colOff>247650</xdr:colOff>
      <xdr:row>4</xdr:row>
      <xdr:rowOff>381000</xdr:rowOff>
    </xdr:to>
    <xdr:sp>
      <xdr:nvSpPr>
        <xdr:cNvPr id="94" name="Line 94"/>
        <xdr:cNvSpPr>
          <a:spLocks/>
        </xdr:cNvSpPr>
      </xdr:nvSpPr>
      <xdr:spPr>
        <a:xfrm flipV="1">
          <a:off x="9153525" y="723900"/>
          <a:ext cx="2095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104775</xdr:rowOff>
    </xdr:from>
    <xdr:to>
      <xdr:col>18</xdr:col>
      <xdr:colOff>390525</xdr:colOff>
      <xdr:row>5</xdr:row>
      <xdr:rowOff>190500</xdr:rowOff>
    </xdr:to>
    <xdr:sp>
      <xdr:nvSpPr>
        <xdr:cNvPr id="95" name="Freeform 95"/>
        <xdr:cNvSpPr>
          <a:spLocks/>
        </xdr:cNvSpPr>
      </xdr:nvSpPr>
      <xdr:spPr>
        <a:xfrm>
          <a:off x="8591550" y="1181100"/>
          <a:ext cx="390525" cy="95250"/>
        </a:xfrm>
        <a:custGeom>
          <a:pathLst>
            <a:path h="7" w="23">
              <a:moveTo>
                <a:pt x="0" y="1"/>
              </a:moveTo>
              <a:cubicBezTo>
                <a:pt x="4" y="0"/>
                <a:pt x="8" y="0"/>
                <a:pt x="12" y="1"/>
              </a:cubicBezTo>
              <a:cubicBezTo>
                <a:pt x="16" y="2"/>
                <a:pt x="21" y="6"/>
                <a:pt x="2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333375</xdr:colOff>
      <xdr:row>10</xdr:row>
      <xdr:rowOff>0</xdr:rowOff>
    </xdr:from>
    <xdr:to>
      <xdr:col>17</xdr:col>
      <xdr:colOff>0</xdr:colOff>
      <xdr:row>10</xdr:row>
      <xdr:rowOff>0</xdr:rowOff>
    </xdr:to>
    <xdr:sp>
      <xdr:nvSpPr>
        <xdr:cNvPr id="96" name="Line 96"/>
        <xdr:cNvSpPr>
          <a:spLocks/>
        </xdr:cNvSpPr>
      </xdr:nvSpPr>
      <xdr:spPr>
        <a:xfrm>
          <a:off x="8267700" y="19526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323850</xdr:colOff>
      <xdr:row>10</xdr:row>
      <xdr:rowOff>0</xdr:rowOff>
    </xdr:to>
    <xdr:sp>
      <xdr:nvSpPr>
        <xdr:cNvPr id="97" name="Line 97"/>
        <xdr:cNvSpPr>
          <a:spLocks/>
        </xdr:cNvSpPr>
      </xdr:nvSpPr>
      <xdr:spPr>
        <a:xfrm>
          <a:off x="8591550" y="19526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8</xdr:row>
      <xdr:rowOff>0</xdr:rowOff>
    </xdr:from>
    <xdr:to>
      <xdr:col>19</xdr:col>
      <xdr:colOff>200025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>
          <a:off x="8724900" y="17049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7</xdr:row>
      <xdr:rowOff>0</xdr:rowOff>
    </xdr:from>
    <xdr:to>
      <xdr:col>19</xdr:col>
      <xdr:colOff>114300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>
          <a:off x="9229725" y="1495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9</xdr:row>
      <xdr:rowOff>9525</xdr:rowOff>
    </xdr:from>
    <xdr:to>
      <xdr:col>19</xdr:col>
      <xdr:colOff>114300</xdr:colOff>
      <xdr:row>10</xdr:row>
      <xdr:rowOff>28575</xdr:rowOff>
    </xdr:to>
    <xdr:sp>
      <xdr:nvSpPr>
        <xdr:cNvPr id="100" name="Line 100"/>
        <xdr:cNvSpPr>
          <a:spLocks/>
        </xdr:cNvSpPr>
      </xdr:nvSpPr>
      <xdr:spPr>
        <a:xfrm>
          <a:off x="9229725" y="18002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438150</xdr:colOff>
      <xdr:row>4</xdr:row>
      <xdr:rowOff>342900</xdr:rowOff>
    </xdr:from>
    <xdr:to>
      <xdr:col>15</xdr:col>
      <xdr:colOff>542925</xdr:colOff>
      <xdr:row>4</xdr:row>
      <xdr:rowOff>419100</xdr:rowOff>
    </xdr:to>
    <xdr:sp>
      <xdr:nvSpPr>
        <xdr:cNvPr id="101" name="Line 101"/>
        <xdr:cNvSpPr>
          <a:spLocks/>
        </xdr:cNvSpPr>
      </xdr:nvSpPr>
      <xdr:spPr>
        <a:xfrm flipV="1">
          <a:off x="7820025" y="981075"/>
          <a:ext cx="104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523875</xdr:colOff>
      <xdr:row>4</xdr:row>
      <xdr:rowOff>342900</xdr:rowOff>
    </xdr:from>
    <xdr:to>
      <xdr:col>19</xdr:col>
      <xdr:colOff>104775</xdr:colOff>
      <xdr:row>5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9115425" y="981075"/>
          <a:ext cx="104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5</xdr:row>
      <xdr:rowOff>0</xdr:rowOff>
    </xdr:from>
    <xdr:to>
      <xdr:col>20</xdr:col>
      <xdr:colOff>304800</xdr:colOff>
      <xdr:row>5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6991350" y="10763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5</xdr:row>
      <xdr:rowOff>9525</xdr:rowOff>
    </xdr:from>
    <xdr:to>
      <xdr:col>19</xdr:col>
      <xdr:colOff>314325</xdr:colOff>
      <xdr:row>9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9429750" y="10858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10</xdr:row>
      <xdr:rowOff>142875</xdr:rowOff>
    </xdr:to>
    <xdr:sp>
      <xdr:nvSpPr>
        <xdr:cNvPr id="105" name="Line 105"/>
        <xdr:cNvSpPr>
          <a:spLocks/>
        </xdr:cNvSpPr>
      </xdr:nvSpPr>
      <xdr:spPr>
        <a:xfrm>
          <a:off x="8591550" y="1866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76200</xdr:rowOff>
    </xdr:from>
    <xdr:to>
      <xdr:col>17</xdr:col>
      <xdr:colOff>0</xdr:colOff>
      <xdr:row>10</xdr:row>
      <xdr:rowOff>142875</xdr:rowOff>
    </xdr:to>
    <xdr:sp>
      <xdr:nvSpPr>
        <xdr:cNvPr id="106" name="Line 106"/>
        <xdr:cNvSpPr>
          <a:spLocks/>
        </xdr:cNvSpPr>
      </xdr:nvSpPr>
      <xdr:spPr>
        <a:xfrm>
          <a:off x="8448675" y="1866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0</xdr:colOff>
      <xdr:row>3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8448675" y="2000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28575</xdr:rowOff>
    </xdr:from>
    <xdr:to>
      <xdr:col>16</xdr:col>
      <xdr:colOff>0</xdr:colOff>
      <xdr:row>4</xdr:row>
      <xdr:rowOff>314325</xdr:rowOff>
    </xdr:to>
    <xdr:sp>
      <xdr:nvSpPr>
        <xdr:cNvPr id="108" name="Line 108"/>
        <xdr:cNvSpPr>
          <a:spLocks/>
        </xdr:cNvSpPr>
      </xdr:nvSpPr>
      <xdr:spPr>
        <a:xfrm flipV="1">
          <a:off x="7934325" y="22860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2</xdr:row>
      <xdr:rowOff>9525</xdr:rowOff>
    </xdr:from>
    <xdr:to>
      <xdr:col>16</xdr:col>
      <xdr:colOff>0</xdr:colOff>
      <xdr:row>2</xdr:row>
      <xdr:rowOff>9525</xdr:rowOff>
    </xdr:to>
    <xdr:sp>
      <xdr:nvSpPr>
        <xdr:cNvPr id="109" name="Line 109"/>
        <xdr:cNvSpPr>
          <a:spLocks/>
        </xdr:cNvSpPr>
      </xdr:nvSpPr>
      <xdr:spPr>
        <a:xfrm flipH="1">
          <a:off x="7639050" y="371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</xdr:row>
      <xdr:rowOff>0</xdr:rowOff>
    </xdr:from>
    <xdr:to>
      <xdr:col>18</xdr:col>
      <xdr:colOff>19050</xdr:colOff>
      <xdr:row>2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58200" y="361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9525</xdr:rowOff>
    </xdr:from>
    <xdr:to>
      <xdr:col>18</xdr:col>
      <xdr:colOff>0</xdr:colOff>
      <xdr:row>9</xdr:row>
      <xdr:rowOff>38100</xdr:rowOff>
    </xdr:to>
    <xdr:sp>
      <xdr:nvSpPr>
        <xdr:cNvPr id="111" name="Arc 111"/>
        <xdr:cNvSpPr>
          <a:spLocks/>
        </xdr:cNvSpPr>
      </xdr:nvSpPr>
      <xdr:spPr>
        <a:xfrm flipV="1">
          <a:off x="8448675" y="1800225"/>
          <a:ext cx="142875" cy="28575"/>
        </a:xfrm>
        <a:custGeom>
          <a:pathLst>
            <a:path fill="none" h="21600" w="43200">
              <a:moveTo>
                <a:pt x="0" y="21600"/>
              </a:moveTo>
              <a:cubicBezTo>
                <a:pt x="0" y="9670"/>
                <a:pt x="9670" y="0"/>
                <a:pt x="21600" y="0"/>
              </a:cubicBezTo>
              <a:cubicBezTo>
                <a:pt x="-32007" y="0"/>
                <a:pt x="-22336" y="9670"/>
                <a:pt x="-22336" y="21600"/>
              </a:cubicBezTo>
            </a:path>
            <a:path stroke="0" h="21600" w="43200">
              <a:moveTo>
                <a:pt x="0" y="21600"/>
              </a:moveTo>
              <a:cubicBezTo>
                <a:pt x="0" y="9670"/>
                <a:pt x="9670" y="0"/>
                <a:pt x="21600" y="0"/>
              </a:cubicBezTo>
              <a:cubicBezTo>
                <a:pt x="-32007" y="0"/>
                <a:pt x="-22336" y="9670"/>
                <a:pt x="-22336" y="21600"/>
              </a:cubicBez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4</xdr:row>
      <xdr:rowOff>38100</xdr:rowOff>
    </xdr:from>
    <xdr:to>
      <xdr:col>15</xdr:col>
      <xdr:colOff>447675</xdr:colOff>
      <xdr:row>4</xdr:row>
      <xdr:rowOff>276225</xdr:rowOff>
    </xdr:to>
    <xdr:sp>
      <xdr:nvSpPr>
        <xdr:cNvPr id="112" name="Line 112"/>
        <xdr:cNvSpPr>
          <a:spLocks/>
        </xdr:cNvSpPr>
      </xdr:nvSpPr>
      <xdr:spPr>
        <a:xfrm flipH="1" flipV="1">
          <a:off x="7677150" y="676275"/>
          <a:ext cx="15240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542925</xdr:colOff>
      <xdr:row>4</xdr:row>
      <xdr:rowOff>342900</xdr:rowOff>
    </xdr:from>
    <xdr:to>
      <xdr:col>18</xdr:col>
      <xdr:colOff>523875</xdr:colOff>
      <xdr:row>4</xdr:row>
      <xdr:rowOff>342900</xdr:rowOff>
    </xdr:to>
    <xdr:sp>
      <xdr:nvSpPr>
        <xdr:cNvPr id="113" name="Line 113"/>
        <xdr:cNvSpPr>
          <a:spLocks/>
        </xdr:cNvSpPr>
      </xdr:nvSpPr>
      <xdr:spPr>
        <a:xfrm>
          <a:off x="7924800" y="9810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4</xdr:row>
      <xdr:rowOff>219075</xdr:rowOff>
    </xdr:from>
    <xdr:to>
      <xdr:col>14</xdr:col>
      <xdr:colOff>28575</xdr:colOff>
      <xdr:row>4</xdr:row>
      <xdr:rowOff>342900</xdr:rowOff>
    </xdr:to>
    <xdr:sp>
      <xdr:nvSpPr>
        <xdr:cNvPr id="114" name="Line 114"/>
        <xdr:cNvSpPr>
          <a:spLocks/>
        </xdr:cNvSpPr>
      </xdr:nvSpPr>
      <xdr:spPr>
        <a:xfrm>
          <a:off x="6781800" y="8572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5</xdr:row>
      <xdr:rowOff>0</xdr:rowOff>
    </xdr:from>
    <xdr:to>
      <xdr:col>14</xdr:col>
      <xdr:colOff>28575</xdr:colOff>
      <xdr:row>5</xdr:row>
      <xdr:rowOff>171450</xdr:rowOff>
    </xdr:to>
    <xdr:sp>
      <xdr:nvSpPr>
        <xdr:cNvPr id="115" name="Line 115"/>
        <xdr:cNvSpPr>
          <a:spLocks/>
        </xdr:cNvSpPr>
      </xdr:nvSpPr>
      <xdr:spPr>
        <a:xfrm flipH="1">
          <a:off x="6772275" y="10763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4</xdr:row>
      <xdr:rowOff>342900</xdr:rowOff>
    </xdr:from>
    <xdr:to>
      <xdr:col>15</xdr:col>
      <xdr:colOff>47625</xdr:colOff>
      <xdr:row>4</xdr:row>
      <xdr:rowOff>342900</xdr:rowOff>
    </xdr:to>
    <xdr:sp>
      <xdr:nvSpPr>
        <xdr:cNvPr id="116" name="Line 116"/>
        <xdr:cNvSpPr>
          <a:spLocks/>
        </xdr:cNvSpPr>
      </xdr:nvSpPr>
      <xdr:spPr>
        <a:xfrm>
          <a:off x="6753225" y="981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7</xdr:row>
      <xdr:rowOff>19050</xdr:rowOff>
    </xdr:from>
    <xdr:to>
      <xdr:col>14</xdr:col>
      <xdr:colOff>323850</xdr:colOff>
      <xdr:row>7</xdr:row>
      <xdr:rowOff>161925</xdr:rowOff>
    </xdr:to>
    <xdr:sp>
      <xdr:nvSpPr>
        <xdr:cNvPr id="117" name="Line 117"/>
        <xdr:cNvSpPr>
          <a:spLocks/>
        </xdr:cNvSpPr>
      </xdr:nvSpPr>
      <xdr:spPr>
        <a:xfrm>
          <a:off x="6867525" y="1514475"/>
          <a:ext cx="20955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6</xdr:row>
      <xdr:rowOff>38100</xdr:rowOff>
    </xdr:from>
    <xdr:to>
      <xdr:col>14</xdr:col>
      <xdr:colOff>466725</xdr:colOff>
      <xdr:row>7</xdr:row>
      <xdr:rowOff>9525</xdr:rowOff>
    </xdr:to>
    <xdr:sp>
      <xdr:nvSpPr>
        <xdr:cNvPr id="118" name="Line 118"/>
        <xdr:cNvSpPr>
          <a:spLocks/>
        </xdr:cNvSpPr>
      </xdr:nvSpPr>
      <xdr:spPr>
        <a:xfrm flipV="1">
          <a:off x="6858000" y="1323975"/>
          <a:ext cx="36195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5</xdr:row>
      <xdr:rowOff>142875</xdr:rowOff>
    </xdr:from>
    <xdr:to>
      <xdr:col>14</xdr:col>
      <xdr:colOff>466725</xdr:colOff>
      <xdr:row>6</xdr:row>
      <xdr:rowOff>38100</xdr:rowOff>
    </xdr:to>
    <xdr:sp>
      <xdr:nvSpPr>
        <xdr:cNvPr id="119" name="Line 119"/>
        <xdr:cNvSpPr>
          <a:spLocks/>
        </xdr:cNvSpPr>
      </xdr:nvSpPr>
      <xdr:spPr>
        <a:xfrm flipH="1" flipV="1">
          <a:off x="6991350" y="1219200"/>
          <a:ext cx="228600" cy="104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5</xdr:row>
      <xdr:rowOff>0</xdr:rowOff>
    </xdr:from>
    <xdr:to>
      <xdr:col>14</xdr:col>
      <xdr:colOff>238125</xdr:colOff>
      <xdr:row>5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6991350" y="10763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7</xdr:row>
      <xdr:rowOff>152400</xdr:rowOff>
    </xdr:from>
    <xdr:to>
      <xdr:col>14</xdr:col>
      <xdr:colOff>323850</xdr:colOff>
      <xdr:row>8</xdr:row>
      <xdr:rowOff>76200</xdr:rowOff>
    </xdr:to>
    <xdr:sp>
      <xdr:nvSpPr>
        <xdr:cNvPr id="121" name="Line 121"/>
        <xdr:cNvSpPr>
          <a:spLocks/>
        </xdr:cNvSpPr>
      </xdr:nvSpPr>
      <xdr:spPr>
        <a:xfrm>
          <a:off x="7077075" y="1647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7</xdr:row>
      <xdr:rowOff>19050</xdr:rowOff>
    </xdr:from>
    <xdr:to>
      <xdr:col>20</xdr:col>
      <xdr:colOff>314325</xdr:colOff>
      <xdr:row>7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9810750" y="1514475"/>
          <a:ext cx="200025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6</xdr:row>
      <xdr:rowOff>38100</xdr:rowOff>
    </xdr:from>
    <xdr:to>
      <xdr:col>20</xdr:col>
      <xdr:colOff>466725</xdr:colOff>
      <xdr:row>7</xdr:row>
      <xdr:rowOff>9525</xdr:rowOff>
    </xdr:to>
    <xdr:sp>
      <xdr:nvSpPr>
        <xdr:cNvPr id="123" name="Line 123"/>
        <xdr:cNvSpPr>
          <a:spLocks/>
        </xdr:cNvSpPr>
      </xdr:nvSpPr>
      <xdr:spPr>
        <a:xfrm flipV="1">
          <a:off x="9801225" y="1323975"/>
          <a:ext cx="36195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5</xdr:row>
      <xdr:rowOff>142875</xdr:rowOff>
    </xdr:from>
    <xdr:to>
      <xdr:col>20</xdr:col>
      <xdr:colOff>466725</xdr:colOff>
      <xdr:row>6</xdr:row>
      <xdr:rowOff>38100</xdr:rowOff>
    </xdr:to>
    <xdr:sp>
      <xdr:nvSpPr>
        <xdr:cNvPr id="124" name="Line 124"/>
        <xdr:cNvSpPr>
          <a:spLocks/>
        </xdr:cNvSpPr>
      </xdr:nvSpPr>
      <xdr:spPr>
        <a:xfrm flipH="1" flipV="1">
          <a:off x="10001250" y="1219200"/>
          <a:ext cx="161925" cy="104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5</xdr:row>
      <xdr:rowOff>0</xdr:rowOff>
    </xdr:from>
    <xdr:to>
      <xdr:col>20</xdr:col>
      <xdr:colOff>304800</xdr:colOff>
      <xdr:row>5</xdr:row>
      <xdr:rowOff>142875</xdr:rowOff>
    </xdr:to>
    <xdr:sp>
      <xdr:nvSpPr>
        <xdr:cNvPr id="125" name="Line 125"/>
        <xdr:cNvSpPr>
          <a:spLocks/>
        </xdr:cNvSpPr>
      </xdr:nvSpPr>
      <xdr:spPr>
        <a:xfrm>
          <a:off x="10001250" y="10763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7</xdr:row>
      <xdr:rowOff>152400</xdr:rowOff>
    </xdr:from>
    <xdr:to>
      <xdr:col>20</xdr:col>
      <xdr:colOff>323850</xdr:colOff>
      <xdr:row>8</xdr:row>
      <xdr:rowOff>76200</xdr:rowOff>
    </xdr:to>
    <xdr:sp>
      <xdr:nvSpPr>
        <xdr:cNvPr id="126" name="Line 126"/>
        <xdr:cNvSpPr>
          <a:spLocks/>
        </xdr:cNvSpPr>
      </xdr:nvSpPr>
      <xdr:spPr>
        <a:xfrm>
          <a:off x="10020300" y="16478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514350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668125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677650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514350</xdr:colOff>
      <xdr:row>0</xdr:row>
      <xdr:rowOff>0</xdr:rowOff>
    </xdr:from>
    <xdr:to>
      <xdr:col>22</xdr:col>
      <xdr:colOff>447675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668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668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466725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1620500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457200</xdr:colOff>
      <xdr:row>0</xdr:row>
      <xdr:rowOff>0</xdr:rowOff>
    </xdr:from>
    <xdr:to>
      <xdr:col>23</xdr:col>
      <xdr:colOff>123825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161097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514350</xdr:colOff>
      <xdr:row>0</xdr:row>
      <xdr:rowOff>0</xdr:rowOff>
    </xdr:from>
    <xdr:to>
      <xdr:col>23</xdr:col>
      <xdr:colOff>114300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116681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1" name="Freeform 21"/>
        <xdr:cNvSpPr>
          <a:spLocks/>
        </xdr:cNvSpPr>
      </xdr:nvSpPr>
      <xdr:spPr>
        <a:xfrm>
          <a:off x="12687300" y="0"/>
          <a:ext cx="0" cy="0"/>
        </a:xfrm>
        <a:custGeom>
          <a:pathLst>
            <a:path h="7" w="23">
              <a:moveTo>
                <a:pt x="0" y="1"/>
              </a:moveTo>
              <a:cubicBezTo>
                <a:pt x="4" y="0"/>
                <a:pt x="8" y="0"/>
                <a:pt x="12" y="1"/>
              </a:cubicBezTo>
              <a:cubicBezTo>
                <a:pt x="16" y="2"/>
                <a:pt x="21" y="6"/>
                <a:pt x="23" y="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1268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029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9029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</xdr:row>
      <xdr:rowOff>0</xdr:rowOff>
    </xdr:from>
    <xdr:to>
      <xdr:col>4</xdr:col>
      <xdr:colOff>428625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20574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9" name="Line 29"/>
        <xdr:cNvSpPr>
          <a:spLocks/>
        </xdr:cNvSpPr>
      </xdr:nvSpPr>
      <xdr:spPr>
        <a:xfrm>
          <a:off x="20574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9029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9029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2" name="Line 32"/>
        <xdr:cNvSpPr>
          <a:spLocks/>
        </xdr:cNvSpPr>
      </xdr:nvSpPr>
      <xdr:spPr>
        <a:xfrm>
          <a:off x="9029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9029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90297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029700" y="200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9029700" y="200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2057400" y="200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38" name="Line 38"/>
        <xdr:cNvSpPr>
          <a:spLocks/>
        </xdr:cNvSpPr>
      </xdr:nvSpPr>
      <xdr:spPr>
        <a:xfrm>
          <a:off x="2057400" y="200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514350</xdr:colOff>
      <xdr:row>1</xdr:row>
      <xdr:rowOff>0</xdr:rowOff>
    </xdr:from>
    <xdr:to>
      <xdr:col>22</xdr:col>
      <xdr:colOff>514350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11668125" y="200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0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11668125" y="200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1" name="Line 41"/>
        <xdr:cNvSpPr>
          <a:spLocks/>
        </xdr:cNvSpPr>
      </xdr:nvSpPr>
      <xdr:spPr>
        <a:xfrm>
          <a:off x="9029700" y="200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9029700" y="200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9029700" y="200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457200</xdr:colOff>
      <xdr:row>1</xdr:row>
      <xdr:rowOff>0</xdr:rowOff>
    </xdr:from>
    <xdr:to>
      <xdr:col>18</xdr:col>
      <xdr:colOff>457200</xdr:colOff>
      <xdr:row>1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9486900" y="200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126873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126873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47" name="Line 47"/>
        <xdr:cNvSpPr>
          <a:spLocks/>
        </xdr:cNvSpPr>
      </xdr:nvSpPr>
      <xdr:spPr>
        <a:xfrm>
          <a:off x="126873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126873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126873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50" name="Line 50"/>
        <xdr:cNvSpPr>
          <a:spLocks/>
        </xdr:cNvSpPr>
      </xdr:nvSpPr>
      <xdr:spPr>
        <a:xfrm>
          <a:off x="12687300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1</xdr:row>
      <xdr:rowOff>0</xdr:rowOff>
    </xdr:from>
    <xdr:to>
      <xdr:col>24</xdr:col>
      <xdr:colOff>323850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1250632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0"/>
  <sheetViews>
    <sheetView showGridLines="0" zoomScale="85" zoomScaleNormal="85" zoomScalePageLayoutView="0" workbookViewId="0" topLeftCell="A1">
      <selection activeCell="C71" sqref="C71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8.57421875" style="0" customWidth="1"/>
    <col min="4" max="4" width="8.00390625" style="0" customWidth="1"/>
    <col min="5" max="5" width="14.57421875" style="0" customWidth="1"/>
    <col min="6" max="6" width="9.421875" style="0" customWidth="1"/>
    <col min="7" max="7" width="6.421875" style="0" customWidth="1"/>
    <col min="8" max="8" width="6.7109375" style="0" customWidth="1"/>
    <col min="9" max="9" width="7.7109375" style="0" customWidth="1"/>
    <col min="10" max="10" width="6.7109375" style="0" customWidth="1"/>
    <col min="11" max="11" width="1.8515625" style="0" customWidth="1"/>
    <col min="12" max="12" width="6.7109375" style="0" customWidth="1"/>
    <col min="13" max="13" width="7.7109375" style="0" customWidth="1"/>
    <col min="14" max="15" width="7.8515625" style="0" customWidth="1"/>
    <col min="16" max="16" width="9.421875" style="0" customWidth="1"/>
    <col min="17" max="17" width="8.28125" style="0" customWidth="1"/>
    <col min="18" max="18" width="7.7109375" style="0" customWidth="1"/>
    <col min="19" max="19" width="2.140625" style="0" customWidth="1"/>
    <col min="20" max="20" width="7.8515625" style="0" customWidth="1"/>
    <col min="21" max="23" width="8.7109375" style="0" customWidth="1"/>
  </cols>
  <sheetData>
    <row r="1" spans="1:23" ht="15.75">
      <c r="A1" s="39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4" t="s">
        <v>33</v>
      </c>
      <c r="U1" s="12"/>
      <c r="V1" s="12"/>
      <c r="W1" s="45">
        <v>37524</v>
      </c>
    </row>
    <row r="2" spans="1:23" ht="12.75">
      <c r="A2" s="10"/>
      <c r="B2" s="33"/>
      <c r="C2" s="12"/>
      <c r="D2" s="12"/>
      <c r="E2" s="12"/>
      <c r="F2" s="12"/>
      <c r="G2" s="12"/>
      <c r="H2" s="12"/>
      <c r="I2" s="12"/>
      <c r="J2" s="4" t="s">
        <v>20</v>
      </c>
      <c r="K2" s="12"/>
      <c r="L2" s="4"/>
      <c r="M2" s="9" t="s">
        <v>32</v>
      </c>
      <c r="N2" s="8" t="s">
        <v>4</v>
      </c>
      <c r="O2" s="12"/>
      <c r="P2" s="12"/>
      <c r="Q2" s="12"/>
      <c r="R2" s="4" t="s">
        <v>39</v>
      </c>
      <c r="S2" s="12"/>
      <c r="T2" s="44"/>
      <c r="U2" s="12"/>
      <c r="V2" s="12"/>
      <c r="W2" s="45"/>
    </row>
    <row r="3" spans="1:23" ht="12.75">
      <c r="A3" s="10"/>
      <c r="B3" s="11"/>
      <c r="C3" s="12"/>
      <c r="D3" s="12"/>
      <c r="E3" s="12"/>
      <c r="F3" s="12"/>
      <c r="G3" s="12"/>
      <c r="H3" s="36" t="s">
        <v>16</v>
      </c>
      <c r="I3" s="12"/>
      <c r="J3" s="8"/>
      <c r="K3" s="12"/>
      <c r="L3" s="4"/>
      <c r="M3" s="12"/>
      <c r="N3" s="12"/>
      <c r="O3" s="12"/>
      <c r="P3" s="12"/>
      <c r="Q3" s="12"/>
      <c r="R3" s="8"/>
      <c r="S3" s="12"/>
      <c r="T3" s="4"/>
      <c r="U3" s="12"/>
      <c r="V3" s="12"/>
      <c r="W3" s="12"/>
    </row>
    <row r="4" spans="7:23" ht="9" customHeight="1">
      <c r="G4" s="12"/>
      <c r="H4" s="12"/>
      <c r="I4" s="12"/>
      <c r="J4" s="7" t="s">
        <v>19</v>
      </c>
      <c r="K4" s="8"/>
      <c r="L4" s="12"/>
      <c r="M4" s="12"/>
      <c r="N4" s="8"/>
      <c r="O4" s="12"/>
      <c r="P4" s="12"/>
      <c r="Q4" s="12"/>
      <c r="R4" s="7"/>
      <c r="S4" s="8"/>
      <c r="T4" s="12"/>
      <c r="U4" s="12"/>
      <c r="V4" s="12"/>
      <c r="W4" s="8"/>
    </row>
    <row r="5" spans="1:23" ht="34.5" customHeight="1">
      <c r="A5" s="32" t="s">
        <v>24</v>
      </c>
      <c r="B5" s="4"/>
      <c r="C5" s="12"/>
      <c r="D5" s="12"/>
      <c r="E5" s="12"/>
      <c r="F5" s="12"/>
      <c r="H5" s="12"/>
      <c r="I5" s="12"/>
      <c r="J5" s="5" t="s">
        <v>18</v>
      </c>
      <c r="K5" s="13"/>
      <c r="L5" s="9" t="s">
        <v>29</v>
      </c>
      <c r="M5" s="12"/>
      <c r="N5" s="12"/>
      <c r="O5" s="12"/>
      <c r="P5" s="42" t="s">
        <v>4</v>
      </c>
      <c r="Q5" s="12"/>
      <c r="R5" s="5" t="s">
        <v>40</v>
      </c>
      <c r="S5" s="40"/>
      <c r="T5" s="9" t="s">
        <v>78</v>
      </c>
      <c r="U5" s="12"/>
      <c r="V5" s="12"/>
      <c r="W5" s="41"/>
    </row>
    <row r="6" spans="1:23" ht="16.5" customHeight="1">
      <c r="A6" s="12" t="s">
        <v>27</v>
      </c>
      <c r="B6" s="12"/>
      <c r="D6" s="123">
        <v>0</v>
      </c>
      <c r="E6" s="123"/>
      <c r="F6" s="123"/>
      <c r="H6" s="12"/>
      <c r="I6" s="12"/>
      <c r="J6" s="8" t="s">
        <v>14</v>
      </c>
      <c r="K6" s="14"/>
      <c r="L6" s="8"/>
      <c r="M6" s="12"/>
      <c r="N6" s="43" t="s">
        <v>42</v>
      </c>
      <c r="O6" s="12"/>
      <c r="P6" s="12"/>
      <c r="Q6" s="12"/>
      <c r="R6" s="8" t="s">
        <v>14</v>
      </c>
      <c r="S6" s="14"/>
      <c r="T6" s="8"/>
      <c r="U6" s="12"/>
      <c r="V6" s="12"/>
      <c r="W6" s="12"/>
    </row>
    <row r="7" spans="1:23" ht="16.5" customHeight="1">
      <c r="A7" s="12" t="s">
        <v>25</v>
      </c>
      <c r="B7" s="12"/>
      <c r="D7" s="31" t="s">
        <v>26</v>
      </c>
      <c r="E7" s="31"/>
      <c r="F7" s="31"/>
      <c r="G7" s="12"/>
      <c r="H7" s="12"/>
      <c r="I7" s="8" t="s">
        <v>34</v>
      </c>
      <c r="J7" s="12"/>
      <c r="K7" s="6">
        <v>2</v>
      </c>
      <c r="L7" s="12"/>
      <c r="M7" s="12"/>
      <c r="N7" s="12"/>
      <c r="O7" s="12"/>
      <c r="P7" s="12"/>
      <c r="Q7" s="12"/>
      <c r="R7" s="12"/>
      <c r="S7" s="6">
        <v>2</v>
      </c>
      <c r="T7" s="12"/>
      <c r="U7" s="43" t="s">
        <v>43</v>
      </c>
      <c r="V7" s="12"/>
      <c r="W7" s="12"/>
    </row>
    <row r="8" spans="1:23" ht="16.5" customHeight="1">
      <c r="A8" s="34" t="s">
        <v>28</v>
      </c>
      <c r="B8" s="34"/>
      <c r="C8" s="124">
        <v>37.5</v>
      </c>
      <c r="D8" s="7"/>
      <c r="E8" s="7"/>
      <c r="F8" s="7"/>
      <c r="G8" s="12"/>
      <c r="H8" s="12"/>
      <c r="I8" s="12"/>
      <c r="J8" s="12"/>
      <c r="K8" s="14"/>
      <c r="L8" s="12"/>
      <c r="M8" s="8" t="s">
        <v>3</v>
      </c>
      <c r="N8" s="12"/>
      <c r="O8" s="12"/>
      <c r="P8" s="12"/>
      <c r="Q8" s="12"/>
      <c r="R8" s="12"/>
      <c r="S8" s="14"/>
      <c r="T8" s="12"/>
      <c r="U8" s="4" t="s">
        <v>41</v>
      </c>
      <c r="V8" s="12"/>
      <c r="W8" s="12"/>
    </row>
    <row r="9" spans="1:23" ht="6.75" customHeight="1">
      <c r="A9" s="35"/>
      <c r="B9" s="34"/>
      <c r="C9" s="125"/>
      <c r="D9" s="7"/>
      <c r="E9" s="7"/>
      <c r="F9" s="7"/>
      <c r="G9" s="12"/>
      <c r="H9" s="12"/>
      <c r="I9" s="12"/>
      <c r="J9" s="12"/>
      <c r="K9" s="38">
        <v>1</v>
      </c>
      <c r="L9" s="12"/>
      <c r="M9" s="12"/>
      <c r="N9" s="12"/>
      <c r="O9" s="12"/>
      <c r="P9" s="12"/>
      <c r="Q9" s="12"/>
      <c r="R9" s="12"/>
      <c r="S9" s="38">
        <v>1</v>
      </c>
      <c r="T9" s="12"/>
      <c r="U9" s="12"/>
      <c r="V9" s="12"/>
      <c r="W9" s="12"/>
    </row>
    <row r="10" spans="1:23" ht="12.75">
      <c r="A10" s="34" t="s">
        <v>31</v>
      </c>
      <c r="B10" s="34"/>
      <c r="C10" s="124">
        <v>10</v>
      </c>
      <c r="D10" s="1"/>
      <c r="E10" s="1"/>
      <c r="F10" s="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8:23" ht="12.75">
      <c r="H11" s="12"/>
      <c r="I11" s="12"/>
      <c r="J11" s="12"/>
      <c r="K11" s="8" t="s">
        <v>2</v>
      </c>
      <c r="L11" s="12"/>
      <c r="M11" s="12"/>
      <c r="N11" s="12"/>
      <c r="O11" s="12"/>
      <c r="P11" s="12"/>
      <c r="Q11" s="12"/>
      <c r="R11" s="12"/>
      <c r="S11" s="8" t="s">
        <v>2</v>
      </c>
      <c r="T11" s="12"/>
      <c r="U11" s="12"/>
      <c r="V11" s="12"/>
      <c r="W11" s="12"/>
    </row>
    <row r="12" spans="8:23" ht="12.75">
      <c r="H12" s="12"/>
      <c r="I12" s="12"/>
      <c r="J12" s="12"/>
      <c r="K12" s="8"/>
      <c r="L12" s="12"/>
      <c r="M12" s="12"/>
      <c r="N12" s="12"/>
      <c r="O12" s="12"/>
      <c r="P12" s="12"/>
      <c r="Q12" s="12"/>
      <c r="R12" s="12"/>
      <c r="S12" s="8"/>
      <c r="T12" s="12"/>
      <c r="U12" s="12"/>
      <c r="V12" s="12"/>
      <c r="W12" s="12"/>
    </row>
    <row r="13" spans="1:24" ht="12.75">
      <c r="A13" s="70" t="s">
        <v>8</v>
      </c>
      <c r="B13" s="48" t="s">
        <v>30</v>
      </c>
      <c r="C13" s="48" t="s">
        <v>6</v>
      </c>
      <c r="D13" s="48" t="s">
        <v>7</v>
      </c>
      <c r="E13" s="48" t="s">
        <v>80</v>
      </c>
      <c r="F13" s="70" t="s">
        <v>45</v>
      </c>
      <c r="G13" s="15" t="s">
        <v>2</v>
      </c>
      <c r="H13" s="15" t="s">
        <v>3</v>
      </c>
      <c r="I13" s="15" t="s">
        <v>4</v>
      </c>
      <c r="J13" s="16" t="s">
        <v>15</v>
      </c>
      <c r="K13" s="16"/>
      <c r="L13" s="16" t="s">
        <v>16</v>
      </c>
      <c r="M13" s="15" t="s">
        <v>58</v>
      </c>
      <c r="N13" s="15" t="s">
        <v>59</v>
      </c>
      <c r="O13" s="15" t="s">
        <v>60</v>
      </c>
      <c r="P13" s="15" t="s">
        <v>61</v>
      </c>
      <c r="Q13" s="15" t="s">
        <v>62</v>
      </c>
      <c r="R13" s="88" t="s">
        <v>57</v>
      </c>
      <c r="S13" s="89"/>
      <c r="T13" s="17" t="s">
        <v>10</v>
      </c>
      <c r="U13" s="17"/>
      <c r="V13" s="17"/>
      <c r="W13" s="17"/>
      <c r="X13" s="17"/>
    </row>
    <row r="14" spans="1:24" ht="15" customHeight="1">
      <c r="A14" s="26" t="s">
        <v>9</v>
      </c>
      <c r="B14" s="49" t="s">
        <v>0</v>
      </c>
      <c r="C14" s="49" t="s">
        <v>1</v>
      </c>
      <c r="D14" s="49" t="s">
        <v>1</v>
      </c>
      <c r="E14" s="49" t="s">
        <v>79</v>
      </c>
      <c r="F14" s="26" t="s">
        <v>46</v>
      </c>
      <c r="G14" s="3" t="s">
        <v>1</v>
      </c>
      <c r="H14" s="3" t="s">
        <v>1</v>
      </c>
      <c r="I14" s="3" t="s">
        <v>1</v>
      </c>
      <c r="J14" s="18" t="s">
        <v>1</v>
      </c>
      <c r="K14" s="18"/>
      <c r="L14" s="18" t="s">
        <v>1</v>
      </c>
      <c r="M14" s="3" t="s">
        <v>23</v>
      </c>
      <c r="N14" s="3" t="s">
        <v>23</v>
      </c>
      <c r="O14" s="3" t="s">
        <v>23</v>
      </c>
      <c r="P14" s="3" t="s">
        <v>23</v>
      </c>
      <c r="Q14" s="3" t="s">
        <v>23</v>
      </c>
      <c r="R14" s="19" t="s">
        <v>23</v>
      </c>
      <c r="S14" s="20"/>
      <c r="T14" s="57" t="s">
        <v>64</v>
      </c>
      <c r="U14" s="58" t="s">
        <v>12</v>
      </c>
      <c r="V14" s="57" t="s">
        <v>11</v>
      </c>
      <c r="W14" s="58" t="s">
        <v>12</v>
      </c>
      <c r="X14" s="58" t="s">
        <v>98</v>
      </c>
    </row>
    <row r="15" spans="1:24" ht="13.5" customHeight="1">
      <c r="A15" s="26"/>
      <c r="B15" s="49"/>
      <c r="C15" s="49"/>
      <c r="D15" s="49"/>
      <c r="E15" s="49"/>
      <c r="F15" s="26" t="s">
        <v>47</v>
      </c>
      <c r="G15" s="3"/>
      <c r="H15" s="3"/>
      <c r="I15" s="3"/>
      <c r="J15" s="19" t="s">
        <v>50</v>
      </c>
      <c r="K15" s="20"/>
      <c r="L15" s="18" t="s">
        <v>51</v>
      </c>
      <c r="M15" s="3" t="s">
        <v>35</v>
      </c>
      <c r="N15" s="3" t="s">
        <v>17</v>
      </c>
      <c r="O15" s="3" t="s">
        <v>36</v>
      </c>
      <c r="P15" s="30" t="s">
        <v>22</v>
      </c>
      <c r="Q15" s="37" t="s">
        <v>37</v>
      </c>
      <c r="R15" s="81"/>
      <c r="S15" s="82"/>
      <c r="T15" s="86" t="s">
        <v>5</v>
      </c>
      <c r="U15" s="87" t="s">
        <v>13</v>
      </c>
      <c r="V15" s="86" t="s">
        <v>55</v>
      </c>
      <c r="W15" s="87" t="s">
        <v>13</v>
      </c>
      <c r="X15" s="126" t="s">
        <v>55</v>
      </c>
    </row>
    <row r="16" spans="1:24" ht="12.75">
      <c r="A16" s="71"/>
      <c r="B16" s="50"/>
      <c r="C16" s="50"/>
      <c r="D16" s="50"/>
      <c r="E16" s="50"/>
      <c r="F16" s="71"/>
      <c r="G16" s="21"/>
      <c r="H16" s="21"/>
      <c r="I16" s="21"/>
      <c r="J16" s="46" t="s">
        <v>48</v>
      </c>
      <c r="K16" s="23"/>
      <c r="L16" s="47" t="s">
        <v>49</v>
      </c>
      <c r="M16" s="22"/>
      <c r="N16" s="22"/>
      <c r="O16" s="22"/>
      <c r="P16" s="25" t="s">
        <v>21</v>
      </c>
      <c r="Q16" s="22" t="s">
        <v>38</v>
      </c>
      <c r="R16" s="83"/>
      <c r="S16" s="84"/>
      <c r="T16" s="51">
        <v>0.9</v>
      </c>
      <c r="U16" s="85">
        <v>0.65</v>
      </c>
      <c r="V16" s="51">
        <v>0.6</v>
      </c>
      <c r="W16" s="59">
        <v>0.65</v>
      </c>
      <c r="X16" s="59"/>
    </row>
    <row r="17" spans="1:24" ht="12.75">
      <c r="A17" s="90"/>
      <c r="B17" s="129"/>
      <c r="C17" s="91"/>
      <c r="D17" s="91"/>
      <c r="E17" s="91"/>
      <c r="F17" s="91"/>
      <c r="G17" s="7"/>
      <c r="H17" s="7"/>
      <c r="I17" s="7"/>
      <c r="J17" s="34"/>
      <c r="K17" s="34"/>
      <c r="L17" s="34"/>
      <c r="M17" s="66"/>
      <c r="N17" s="66"/>
      <c r="O17" s="92"/>
      <c r="P17" s="93"/>
      <c r="Q17" s="66"/>
      <c r="S17" s="66"/>
      <c r="T17" s="130">
        <v>0.8</v>
      </c>
      <c r="U17" s="131">
        <v>0.8</v>
      </c>
      <c r="V17" s="132">
        <v>0.8</v>
      </c>
      <c r="W17" s="133">
        <v>0.8</v>
      </c>
      <c r="X17" s="133"/>
    </row>
    <row r="18" spans="1:24" ht="12.75">
      <c r="A18" s="134">
        <v>1</v>
      </c>
      <c r="B18" s="135">
        <v>0.5</v>
      </c>
      <c r="C18" s="136">
        <v>21.3</v>
      </c>
      <c r="D18" s="136">
        <v>1.65</v>
      </c>
      <c r="E18" s="137" t="s">
        <v>81</v>
      </c>
      <c r="F18" s="137">
        <f aca="true" t="shared" si="0" ref="F18:F82">+PI()*D18*(C18-D18)*0.00785</f>
        <v>0.7995875593164683</v>
      </c>
      <c r="G18" s="138">
        <f aca="true" t="shared" si="1" ref="G18:G303">IF($D$6=1,2,3)</f>
        <v>3</v>
      </c>
      <c r="H18" s="138">
        <f aca="true" t="shared" si="2" ref="H18:H27">IF(D18&lt;2,D18,2)</f>
        <v>1.65</v>
      </c>
      <c r="I18" s="138">
        <f aca="true" t="shared" si="3" ref="I18:I27">IF(D18&lt;=19,2,3)</f>
        <v>2</v>
      </c>
      <c r="J18" s="139">
        <f aca="true" t="shared" si="4" ref="J18:J29">IF(D18&lt;=19,(D18-H18)*TAN($C$8*PI()/180),(19-H18)*TAN($C$8*PI()/180))</f>
        <v>0</v>
      </c>
      <c r="K18" s="138"/>
      <c r="L18" s="138">
        <f aca="true" t="shared" si="5" ref="L18:L29">IF(D18&lt;=19,0,(D18-19)*TAN($C$10*PI()/180))</f>
        <v>0</v>
      </c>
      <c r="M18" s="138">
        <f aca="true" t="shared" si="6" ref="M18:M29">+G18*(H18*1.5)</f>
        <v>7.424999999999999</v>
      </c>
      <c r="N18" s="138">
        <f aca="true" t="shared" si="7" ref="N18:N29">+G18*(D18-H18)</f>
        <v>0</v>
      </c>
      <c r="O18" s="138">
        <f aca="true" t="shared" si="8" ref="O18:O29">IF(D18&lt;=19,(D18-H18)*J18,(19-H18)*J18)</f>
        <v>0</v>
      </c>
      <c r="P18" s="138">
        <f aca="true" t="shared" si="9" ref="P18:P29">IF(D18&lt;=19,0,(J18*(D18-19)*2)+((L18)*(D18-19)))</f>
        <v>0</v>
      </c>
      <c r="Q18" s="138">
        <f aca="true" t="shared" si="10" ref="Q18:Q29">+(5+G18+(2*(J18+L18)))*I18</f>
        <v>16</v>
      </c>
      <c r="R18" s="140">
        <f aca="true" t="shared" si="11" ref="R18:R29">SUM(N18:Q18)</f>
        <v>16</v>
      </c>
      <c r="S18" s="140"/>
      <c r="T18" s="127">
        <f aca="true" t="shared" si="12" ref="T18:T27">IF(D$6=1,(PI()*(C18-(2*D18)+(2*H18))*M18*0.1*0.01*7.85*0.001/(T$16*T$17)),0)</f>
        <v>0</v>
      </c>
      <c r="U18" s="127">
        <f aca="true" t="shared" si="13" ref="U18:U27">IF(D$6=1,(PI()*(C18-(0.5*D18))*(R18)*0.1*0.01*7.85*0.001/(U$16*U$17)),0)</f>
        <v>0</v>
      </c>
      <c r="V18" s="149">
        <f aca="true" t="shared" si="14" ref="V18:V27">IF(D$6=1,0,(PI()*(C18-(2*D18)+(2*H18))*M18*0.1*0.01*7.85*0.001/(V$16*V$17)))</f>
        <v>0.008125579681985103</v>
      </c>
      <c r="W18" s="149">
        <f>IF(D$6=1,0,(PI()*(C18-(0.5*D18))*(R18)*0.1*0.01*7.85*0.001/(W$16*W$17)))</f>
        <v>0.015536746468328321</v>
      </c>
      <c r="X18" s="149">
        <f>SUM(V18:W18)</f>
        <v>0.023662326150313426</v>
      </c>
    </row>
    <row r="19" spans="1:24" ht="12.75">
      <c r="A19" s="141">
        <v>2</v>
      </c>
      <c r="B19" s="142">
        <v>0.5</v>
      </c>
      <c r="C19" s="143">
        <v>21.3</v>
      </c>
      <c r="D19" s="143">
        <v>2.11</v>
      </c>
      <c r="E19" s="144" t="s">
        <v>84</v>
      </c>
      <c r="F19" s="144">
        <f t="shared" si="0"/>
        <v>0.9985664247213258</v>
      </c>
      <c r="G19" s="145">
        <f t="shared" si="1"/>
        <v>3</v>
      </c>
      <c r="H19" s="145">
        <f t="shared" si="2"/>
        <v>2</v>
      </c>
      <c r="I19" s="145">
        <f t="shared" si="3"/>
        <v>2</v>
      </c>
      <c r="J19" s="146">
        <f t="shared" si="4"/>
        <v>0.08440596867768554</v>
      </c>
      <c r="K19" s="147"/>
      <c r="L19" s="145">
        <f t="shared" si="5"/>
        <v>0</v>
      </c>
      <c r="M19" s="145">
        <f t="shared" si="6"/>
        <v>9</v>
      </c>
      <c r="N19" s="145">
        <f t="shared" si="7"/>
        <v>0.3299999999999996</v>
      </c>
      <c r="O19" s="145">
        <f t="shared" si="8"/>
        <v>0.0092846565545454</v>
      </c>
      <c r="P19" s="145">
        <f t="shared" si="9"/>
        <v>0</v>
      </c>
      <c r="Q19" s="145">
        <f t="shared" si="10"/>
        <v>16.337623874710744</v>
      </c>
      <c r="R19" s="147">
        <f t="shared" si="11"/>
        <v>16.676908531265287</v>
      </c>
      <c r="S19" s="147"/>
      <c r="T19" s="128">
        <f t="shared" si="12"/>
        <v>0</v>
      </c>
      <c r="U19" s="128">
        <f t="shared" si="13"/>
        <v>0</v>
      </c>
      <c r="V19" s="150">
        <f t="shared" si="14"/>
        <v>0.009747458796201222</v>
      </c>
      <c r="W19" s="150">
        <f>IF(D$6=1,0,(PI()*(C19-(0.5*D19))*(R19)*0.1*0.01*7.85*0.001/(W$16*W$17)))</f>
        <v>0.016012144978474425</v>
      </c>
      <c r="X19" s="150">
        <f aca="true" t="shared" si="15" ref="X19:X82">SUM(V19:W19)</f>
        <v>0.02575960377467565</v>
      </c>
    </row>
    <row r="20" spans="1:24" ht="12.75">
      <c r="A20" s="141">
        <v>3</v>
      </c>
      <c r="B20" s="142">
        <v>0.5</v>
      </c>
      <c r="C20" s="143">
        <v>21.3</v>
      </c>
      <c r="D20" s="143">
        <v>2.77</v>
      </c>
      <c r="E20" s="144" t="s">
        <v>85</v>
      </c>
      <c r="F20" s="144">
        <f t="shared" si="0"/>
        <v>1.2658280577793697</v>
      </c>
      <c r="G20" s="145">
        <f t="shared" si="1"/>
        <v>3</v>
      </c>
      <c r="H20" s="145">
        <f t="shared" si="2"/>
        <v>2</v>
      </c>
      <c r="I20" s="145">
        <f t="shared" si="3"/>
        <v>2</v>
      </c>
      <c r="J20" s="146">
        <f t="shared" si="4"/>
        <v>0.5908417807437994</v>
      </c>
      <c r="K20" s="147"/>
      <c r="L20" s="145">
        <f t="shared" si="5"/>
        <v>0</v>
      </c>
      <c r="M20" s="145">
        <f t="shared" si="6"/>
        <v>9</v>
      </c>
      <c r="N20" s="145">
        <f t="shared" si="7"/>
        <v>2.31</v>
      </c>
      <c r="O20" s="145">
        <f t="shared" si="8"/>
        <v>0.45494817117272557</v>
      </c>
      <c r="P20" s="145">
        <f t="shared" si="9"/>
        <v>0</v>
      </c>
      <c r="Q20" s="145">
        <f t="shared" si="10"/>
        <v>18.3633671229752</v>
      </c>
      <c r="R20" s="147">
        <f t="shared" si="11"/>
        <v>21.128315294147924</v>
      </c>
      <c r="S20" s="147"/>
      <c r="T20" s="128">
        <f t="shared" si="12"/>
        <v>0</v>
      </c>
      <c r="U20" s="128">
        <f t="shared" si="13"/>
        <v>0</v>
      </c>
      <c r="V20" s="150">
        <f t="shared" si="14"/>
        <v>0.009137086613516896</v>
      </c>
      <c r="W20" s="150">
        <f aca="true" t="shared" si="16" ref="W20:W27">IF(D$6=1,0,(PI()*(C20-(0.5*D20))*(R20)*0.1*0.01*7.85*0.001/(W$16*W$17)))</f>
        <v>0.019955442649356576</v>
      </c>
      <c r="X20" s="150">
        <f t="shared" si="15"/>
        <v>0.029092529262873472</v>
      </c>
    </row>
    <row r="21" spans="1:24" ht="12.75">
      <c r="A21" s="141">
        <v>4</v>
      </c>
      <c r="B21" s="142">
        <v>0.5</v>
      </c>
      <c r="C21" s="143">
        <v>21.3</v>
      </c>
      <c r="D21" s="143">
        <v>2.77</v>
      </c>
      <c r="E21" s="144" t="s">
        <v>86</v>
      </c>
      <c r="F21" s="144">
        <f t="shared" si="0"/>
        <v>1.2658280577793697</v>
      </c>
      <c r="G21" s="145">
        <f t="shared" si="1"/>
        <v>3</v>
      </c>
      <c r="H21" s="145">
        <f t="shared" si="2"/>
        <v>2</v>
      </c>
      <c r="I21" s="145">
        <f t="shared" si="3"/>
        <v>2</v>
      </c>
      <c r="J21" s="146">
        <f t="shared" si="4"/>
        <v>0.5908417807437994</v>
      </c>
      <c r="K21" s="147"/>
      <c r="L21" s="145">
        <f t="shared" si="5"/>
        <v>0</v>
      </c>
      <c r="M21" s="145">
        <f t="shared" si="6"/>
        <v>9</v>
      </c>
      <c r="N21" s="145">
        <f t="shared" si="7"/>
        <v>2.31</v>
      </c>
      <c r="O21" s="145">
        <f t="shared" si="8"/>
        <v>0.45494817117272557</v>
      </c>
      <c r="P21" s="145">
        <f t="shared" si="9"/>
        <v>0</v>
      </c>
      <c r="Q21" s="145">
        <f t="shared" si="10"/>
        <v>18.3633671229752</v>
      </c>
      <c r="R21" s="147">
        <f t="shared" si="11"/>
        <v>21.128315294147924</v>
      </c>
      <c r="S21" s="147"/>
      <c r="T21" s="128">
        <f t="shared" si="12"/>
        <v>0</v>
      </c>
      <c r="U21" s="128">
        <f t="shared" si="13"/>
        <v>0</v>
      </c>
      <c r="V21" s="150">
        <f t="shared" si="14"/>
        <v>0.009137086613516896</v>
      </c>
      <c r="W21" s="150">
        <f t="shared" si="16"/>
        <v>0.019955442649356576</v>
      </c>
      <c r="X21" s="150">
        <f t="shared" si="15"/>
        <v>0.029092529262873472</v>
      </c>
    </row>
    <row r="22" spans="1:24" ht="12.75">
      <c r="A22" s="141">
        <v>5</v>
      </c>
      <c r="B22" s="142">
        <v>0.5</v>
      </c>
      <c r="C22" s="143">
        <v>21.3</v>
      </c>
      <c r="D22" s="143">
        <v>2.77</v>
      </c>
      <c r="E22" s="144" t="s">
        <v>87</v>
      </c>
      <c r="F22" s="144">
        <f t="shared" si="0"/>
        <v>1.2658280577793697</v>
      </c>
      <c r="G22" s="145">
        <f t="shared" si="1"/>
        <v>3</v>
      </c>
      <c r="H22" s="145">
        <f t="shared" si="2"/>
        <v>2</v>
      </c>
      <c r="I22" s="145">
        <f t="shared" si="3"/>
        <v>2</v>
      </c>
      <c r="J22" s="146">
        <f t="shared" si="4"/>
        <v>0.5908417807437994</v>
      </c>
      <c r="K22" s="147"/>
      <c r="L22" s="145">
        <f t="shared" si="5"/>
        <v>0</v>
      </c>
      <c r="M22" s="145">
        <f t="shared" si="6"/>
        <v>9</v>
      </c>
      <c r="N22" s="145">
        <f t="shared" si="7"/>
        <v>2.31</v>
      </c>
      <c r="O22" s="145">
        <f t="shared" si="8"/>
        <v>0.45494817117272557</v>
      </c>
      <c r="P22" s="145">
        <f t="shared" si="9"/>
        <v>0</v>
      </c>
      <c r="Q22" s="145">
        <f t="shared" si="10"/>
        <v>18.3633671229752</v>
      </c>
      <c r="R22" s="147">
        <f t="shared" si="11"/>
        <v>21.128315294147924</v>
      </c>
      <c r="S22" s="147"/>
      <c r="T22" s="128">
        <f t="shared" si="12"/>
        <v>0</v>
      </c>
      <c r="U22" s="128">
        <f t="shared" si="13"/>
        <v>0</v>
      </c>
      <c r="V22" s="150">
        <f t="shared" si="14"/>
        <v>0.009137086613516896</v>
      </c>
      <c r="W22" s="150">
        <f t="shared" si="16"/>
        <v>0.019955442649356576</v>
      </c>
      <c r="X22" s="150">
        <f t="shared" si="15"/>
        <v>0.029092529262873472</v>
      </c>
    </row>
    <row r="23" spans="1:24" ht="12.75">
      <c r="A23" s="141">
        <v>6</v>
      </c>
      <c r="B23" s="142">
        <v>0.5</v>
      </c>
      <c r="C23" s="143">
        <v>21.3</v>
      </c>
      <c r="D23" s="143">
        <v>3.73</v>
      </c>
      <c r="E23" s="144" t="s">
        <v>88</v>
      </c>
      <c r="F23" s="144">
        <f t="shared" si="0"/>
        <v>1.6162186828936693</v>
      </c>
      <c r="G23" s="145">
        <f t="shared" si="1"/>
        <v>3</v>
      </c>
      <c r="H23" s="145">
        <f t="shared" si="2"/>
        <v>2</v>
      </c>
      <c r="I23" s="145">
        <f t="shared" si="3"/>
        <v>2</v>
      </c>
      <c r="J23" s="146">
        <f t="shared" si="4"/>
        <v>1.3274756892036015</v>
      </c>
      <c r="K23" s="147"/>
      <c r="L23" s="145">
        <f t="shared" si="5"/>
        <v>0</v>
      </c>
      <c r="M23" s="145">
        <f t="shared" si="6"/>
        <v>9</v>
      </c>
      <c r="N23" s="145">
        <f t="shared" si="7"/>
        <v>5.1899999999999995</v>
      </c>
      <c r="O23" s="145">
        <f t="shared" si="8"/>
        <v>2.2965329423222305</v>
      </c>
      <c r="P23" s="145">
        <f t="shared" si="9"/>
        <v>0</v>
      </c>
      <c r="Q23" s="145">
        <f t="shared" si="10"/>
        <v>21.309902756814406</v>
      </c>
      <c r="R23" s="147">
        <f t="shared" si="11"/>
        <v>28.796435699136637</v>
      </c>
      <c r="S23" s="147"/>
      <c r="T23" s="128">
        <f t="shared" si="12"/>
        <v>0</v>
      </c>
      <c r="U23" s="128">
        <f t="shared" si="13"/>
        <v>0</v>
      </c>
      <c r="V23" s="150">
        <f t="shared" si="14"/>
        <v>0.00824927252961242</v>
      </c>
      <c r="W23" s="150">
        <f t="shared" si="16"/>
        <v>0.02654235580834374</v>
      </c>
      <c r="X23" s="150">
        <f t="shared" si="15"/>
        <v>0.03479162833795616</v>
      </c>
    </row>
    <row r="24" spans="1:24" ht="12.75">
      <c r="A24" s="141">
        <v>7</v>
      </c>
      <c r="B24" s="142">
        <v>0.5</v>
      </c>
      <c r="C24" s="143">
        <v>21.3</v>
      </c>
      <c r="D24" s="143">
        <v>3.73</v>
      </c>
      <c r="E24" s="144" t="s">
        <v>82</v>
      </c>
      <c r="F24" s="144">
        <f t="shared" si="0"/>
        <v>1.6162186828936693</v>
      </c>
      <c r="G24" s="145">
        <f t="shared" si="1"/>
        <v>3</v>
      </c>
      <c r="H24" s="145">
        <f t="shared" si="2"/>
        <v>2</v>
      </c>
      <c r="I24" s="145">
        <f t="shared" si="3"/>
        <v>2</v>
      </c>
      <c r="J24" s="146">
        <f t="shared" si="4"/>
        <v>1.3274756892036015</v>
      </c>
      <c r="K24" s="147"/>
      <c r="L24" s="145">
        <f t="shared" si="5"/>
        <v>0</v>
      </c>
      <c r="M24" s="145">
        <f t="shared" si="6"/>
        <v>9</v>
      </c>
      <c r="N24" s="145">
        <f t="shared" si="7"/>
        <v>5.1899999999999995</v>
      </c>
      <c r="O24" s="145">
        <f t="shared" si="8"/>
        <v>2.2965329423222305</v>
      </c>
      <c r="P24" s="145">
        <f t="shared" si="9"/>
        <v>0</v>
      </c>
      <c r="Q24" s="145">
        <f t="shared" si="10"/>
        <v>21.309902756814406</v>
      </c>
      <c r="R24" s="147">
        <f t="shared" si="11"/>
        <v>28.796435699136637</v>
      </c>
      <c r="S24" s="147"/>
      <c r="T24" s="128">
        <f t="shared" si="12"/>
        <v>0</v>
      </c>
      <c r="U24" s="128">
        <f t="shared" si="13"/>
        <v>0</v>
      </c>
      <c r="V24" s="150">
        <f t="shared" si="14"/>
        <v>0.00824927252961242</v>
      </c>
      <c r="W24" s="150">
        <f t="shared" si="16"/>
        <v>0.02654235580834374</v>
      </c>
      <c r="X24" s="150">
        <f t="shared" si="15"/>
        <v>0.03479162833795616</v>
      </c>
    </row>
    <row r="25" spans="1:24" ht="12.75">
      <c r="A25" s="141">
        <v>8</v>
      </c>
      <c r="B25" s="142">
        <v>0.5</v>
      </c>
      <c r="C25" s="143">
        <v>21.3</v>
      </c>
      <c r="D25" s="143">
        <v>3.73</v>
      </c>
      <c r="E25" s="144" t="s">
        <v>89</v>
      </c>
      <c r="F25" s="144">
        <f t="shared" si="0"/>
        <v>1.6162186828936693</v>
      </c>
      <c r="G25" s="145">
        <f t="shared" si="1"/>
        <v>3</v>
      </c>
      <c r="H25" s="145">
        <f t="shared" si="2"/>
        <v>2</v>
      </c>
      <c r="I25" s="145">
        <f t="shared" si="3"/>
        <v>2</v>
      </c>
      <c r="J25" s="146">
        <f t="shared" si="4"/>
        <v>1.3274756892036015</v>
      </c>
      <c r="K25" s="147"/>
      <c r="L25" s="145">
        <f t="shared" si="5"/>
        <v>0</v>
      </c>
      <c r="M25" s="145">
        <f t="shared" si="6"/>
        <v>9</v>
      </c>
      <c r="N25" s="145">
        <f t="shared" si="7"/>
        <v>5.1899999999999995</v>
      </c>
      <c r="O25" s="145">
        <f t="shared" si="8"/>
        <v>2.2965329423222305</v>
      </c>
      <c r="P25" s="145">
        <f t="shared" si="9"/>
        <v>0</v>
      </c>
      <c r="Q25" s="145">
        <f t="shared" si="10"/>
        <v>21.309902756814406</v>
      </c>
      <c r="R25" s="147">
        <f t="shared" si="11"/>
        <v>28.796435699136637</v>
      </c>
      <c r="S25" s="147"/>
      <c r="T25" s="128">
        <f t="shared" si="12"/>
        <v>0</v>
      </c>
      <c r="U25" s="128">
        <f t="shared" si="13"/>
        <v>0</v>
      </c>
      <c r="V25" s="150">
        <f t="shared" si="14"/>
        <v>0.00824927252961242</v>
      </c>
      <c r="W25" s="150">
        <f t="shared" si="16"/>
        <v>0.02654235580834374</v>
      </c>
      <c r="X25" s="150">
        <f t="shared" si="15"/>
        <v>0.03479162833795616</v>
      </c>
    </row>
    <row r="26" spans="1:24" ht="12.75">
      <c r="A26" s="141">
        <v>9</v>
      </c>
      <c r="B26" s="142">
        <v>0.5</v>
      </c>
      <c r="C26" s="143">
        <v>21.3</v>
      </c>
      <c r="D26" s="143">
        <v>4.73</v>
      </c>
      <c r="E26" s="144" t="s">
        <v>90</v>
      </c>
      <c r="F26" s="144">
        <f t="shared" si="0"/>
        <v>1.9328723728195991</v>
      </c>
      <c r="G26" s="145">
        <f t="shared" si="1"/>
        <v>3</v>
      </c>
      <c r="H26" s="145">
        <f t="shared" si="2"/>
        <v>2</v>
      </c>
      <c r="I26" s="145">
        <f t="shared" si="3"/>
        <v>2</v>
      </c>
      <c r="J26" s="146">
        <f t="shared" si="4"/>
        <v>2.094802677182562</v>
      </c>
      <c r="K26" s="147"/>
      <c r="L26" s="145">
        <f t="shared" si="5"/>
        <v>0</v>
      </c>
      <c r="M26" s="145">
        <f t="shared" si="6"/>
        <v>9</v>
      </c>
      <c r="N26" s="145">
        <f t="shared" si="7"/>
        <v>8.190000000000001</v>
      </c>
      <c r="O26" s="145">
        <f t="shared" si="8"/>
        <v>5.718811308708395</v>
      </c>
      <c r="P26" s="145">
        <f t="shared" si="9"/>
        <v>0</v>
      </c>
      <c r="Q26" s="145">
        <f t="shared" si="10"/>
        <v>24.37921070873025</v>
      </c>
      <c r="R26" s="147">
        <f t="shared" si="11"/>
        <v>38.28802201743865</v>
      </c>
      <c r="S26" s="147"/>
      <c r="T26" s="128">
        <f t="shared" si="12"/>
        <v>0</v>
      </c>
      <c r="U26" s="128">
        <f t="shared" si="13"/>
        <v>0</v>
      </c>
      <c r="V26" s="150">
        <f t="shared" si="14"/>
        <v>0.007324466192211925</v>
      </c>
      <c r="W26" s="150">
        <f t="shared" si="16"/>
        <v>0.03438305217463311</v>
      </c>
      <c r="X26" s="150">
        <f t="shared" si="15"/>
        <v>0.04170751836684504</v>
      </c>
    </row>
    <row r="27" spans="1:24" ht="12.75">
      <c r="A27" s="141">
        <v>10</v>
      </c>
      <c r="B27" s="142">
        <v>0.5</v>
      </c>
      <c r="C27" s="143">
        <v>21.3</v>
      </c>
      <c r="D27" s="143">
        <v>7.471</v>
      </c>
      <c r="E27" s="144" t="s">
        <v>83</v>
      </c>
      <c r="F27" s="144">
        <f t="shared" si="0"/>
        <v>2.5479390944260913</v>
      </c>
      <c r="G27" s="145">
        <f t="shared" si="1"/>
        <v>3</v>
      </c>
      <c r="H27" s="145">
        <f t="shared" si="2"/>
        <v>2</v>
      </c>
      <c r="I27" s="145">
        <f t="shared" si="3"/>
        <v>2</v>
      </c>
      <c r="J27" s="146">
        <f t="shared" si="4"/>
        <v>4.198045951232892</v>
      </c>
      <c r="K27" s="147"/>
      <c r="L27" s="145">
        <f t="shared" si="5"/>
        <v>0</v>
      </c>
      <c r="M27" s="145">
        <f t="shared" si="6"/>
        <v>9</v>
      </c>
      <c r="N27" s="145">
        <f t="shared" si="7"/>
        <v>16.413</v>
      </c>
      <c r="O27" s="145">
        <f t="shared" si="8"/>
        <v>22.96750939919515</v>
      </c>
      <c r="P27" s="145">
        <f t="shared" si="9"/>
        <v>0</v>
      </c>
      <c r="Q27" s="145">
        <f t="shared" si="10"/>
        <v>32.79218380493157</v>
      </c>
      <c r="R27" s="147">
        <f t="shared" si="11"/>
        <v>72.17269320412672</v>
      </c>
      <c r="S27" s="147"/>
      <c r="T27" s="128">
        <f t="shared" si="12"/>
        <v>0</v>
      </c>
      <c r="U27" s="128">
        <f t="shared" si="13"/>
        <v>0</v>
      </c>
      <c r="V27" s="150">
        <f t="shared" si="14"/>
        <v>0.004789572021397165</v>
      </c>
      <c r="W27" s="150">
        <f t="shared" si="16"/>
        <v>0.06012081912177914</v>
      </c>
      <c r="X27" s="150">
        <f t="shared" si="15"/>
        <v>0.0649103911431763</v>
      </c>
    </row>
    <row r="28" spans="1:24" ht="12.75">
      <c r="A28" s="141">
        <v>11</v>
      </c>
      <c r="B28" s="142"/>
      <c r="C28" s="143"/>
      <c r="D28" s="143"/>
      <c r="E28" s="144"/>
      <c r="F28" s="144">
        <f t="shared" si="0"/>
        <v>0</v>
      </c>
      <c r="G28" s="145"/>
      <c r="H28" s="145"/>
      <c r="I28" s="145"/>
      <c r="J28" s="146"/>
      <c r="K28" s="147"/>
      <c r="L28" s="145"/>
      <c r="M28" s="145"/>
      <c r="N28" s="145"/>
      <c r="O28" s="145"/>
      <c r="P28" s="145"/>
      <c r="Q28" s="145"/>
      <c r="R28" s="147"/>
      <c r="S28" s="147"/>
      <c r="T28" s="128"/>
      <c r="U28" s="128"/>
      <c r="V28" s="150"/>
      <c r="W28" s="150"/>
      <c r="X28" s="150">
        <f t="shared" si="15"/>
        <v>0</v>
      </c>
    </row>
    <row r="29" spans="1:24" ht="12.75">
      <c r="A29" s="141">
        <v>12</v>
      </c>
      <c r="B29" s="142">
        <v>0.75</v>
      </c>
      <c r="C29" s="143">
        <v>26.7</v>
      </c>
      <c r="D29" s="143">
        <v>1.65</v>
      </c>
      <c r="E29" s="144" t="s">
        <v>81</v>
      </c>
      <c r="F29" s="144">
        <f t="shared" si="0"/>
        <v>1.019321545082826</v>
      </c>
      <c r="G29" s="145">
        <f t="shared" si="1"/>
        <v>3</v>
      </c>
      <c r="H29" s="145">
        <f>IF(D29&lt;2,D29,2)</f>
        <v>1.65</v>
      </c>
      <c r="I29" s="145">
        <f>IF(D29&lt;=19,2,3)</f>
        <v>2</v>
      </c>
      <c r="J29" s="146">
        <f t="shared" si="4"/>
        <v>0</v>
      </c>
      <c r="K29" s="147"/>
      <c r="L29" s="145">
        <f t="shared" si="5"/>
        <v>0</v>
      </c>
      <c r="M29" s="145">
        <f t="shared" si="6"/>
        <v>7.424999999999999</v>
      </c>
      <c r="N29" s="145">
        <f t="shared" si="7"/>
        <v>0</v>
      </c>
      <c r="O29" s="145">
        <f t="shared" si="8"/>
        <v>0</v>
      </c>
      <c r="P29" s="145">
        <f t="shared" si="9"/>
        <v>0</v>
      </c>
      <c r="Q29" s="145">
        <f t="shared" si="10"/>
        <v>16</v>
      </c>
      <c r="R29" s="147">
        <f t="shared" si="11"/>
        <v>16</v>
      </c>
      <c r="S29" s="147"/>
      <c r="T29" s="128">
        <f>IF(D$6=1,(PI()*(C29-(2*D29)+(2*H29))*M29*0.1*0.01*7.85*0.001/(T$16*T$17)),0)</f>
        <v>0</v>
      </c>
      <c r="U29" s="128">
        <f>IF(D$6=1,(PI()*(C29-(0.5*D29))*(R29)*0.1*0.01*7.85*0.001/(U$16*U$17)),0)</f>
        <v>0</v>
      </c>
      <c r="V29" s="150">
        <f>IF(D$6=1,0,(PI()*(C29-(2*D29)+(2*H29))*M29*0.1*0.01*7.85*0.001/(V$16*V$17)))</f>
        <v>0.010185585798544701</v>
      </c>
      <c r="W29" s="150">
        <f>IF(D$6=1,0,(PI()*(C29-(0.5*D29))*(R29)*0.1*0.01*7.85*0.001/(W$16*W$17)))</f>
        <v>0.01963434993250282</v>
      </c>
      <c r="X29" s="150">
        <f t="shared" si="15"/>
        <v>0.02981993573104752</v>
      </c>
    </row>
    <row r="30" spans="1:24" ht="12.75">
      <c r="A30" s="141">
        <v>13</v>
      </c>
      <c r="B30" s="142">
        <v>0.75</v>
      </c>
      <c r="C30" s="143">
        <v>26.7</v>
      </c>
      <c r="D30" s="143">
        <v>2.11</v>
      </c>
      <c r="E30" s="144" t="s">
        <v>84</v>
      </c>
      <c r="F30" s="144">
        <f t="shared" si="0"/>
        <v>1.2795595822770922</v>
      </c>
      <c r="G30" s="145">
        <f t="shared" si="1"/>
        <v>3</v>
      </c>
      <c r="H30" s="145">
        <f aca="true" t="shared" si="17" ref="H30:H69">IF(D30&lt;2,D30,2)</f>
        <v>2</v>
      </c>
      <c r="I30" s="145">
        <f aca="true" t="shared" si="18" ref="I30:I38">IF(D30&lt;=19,2,3)</f>
        <v>2</v>
      </c>
      <c r="J30" s="146">
        <f aca="true" t="shared" si="19" ref="J30:J38">IF(D30&lt;=19,(D30-H30)*TAN($C$8*PI()/180),(19-H30)*TAN($C$8*PI()/180))</f>
        <v>0.08440596867768554</v>
      </c>
      <c r="K30" s="147"/>
      <c r="L30" s="145">
        <f aca="true" t="shared" si="20" ref="L30:L38">IF(D30&lt;=19,0,(D30-19)*TAN($C$10*PI()/180))</f>
        <v>0</v>
      </c>
      <c r="M30" s="145">
        <f aca="true" t="shared" si="21" ref="M30:M38">+G30*(H30*1.5)</f>
        <v>9</v>
      </c>
      <c r="N30" s="145">
        <f aca="true" t="shared" si="22" ref="N30:N38">+G30*(D30-H30)</f>
        <v>0.3299999999999996</v>
      </c>
      <c r="O30" s="145">
        <f aca="true" t="shared" si="23" ref="O30:O38">IF(D30&lt;=19,(D30-H30)*J30,(19-H30)*J30)</f>
        <v>0.0092846565545454</v>
      </c>
      <c r="P30" s="145">
        <f aca="true" t="shared" si="24" ref="P30:P38">IF(D30&lt;=19,0,(J30*(D30-19)*2)+((L30)*(D30-19)))</f>
        <v>0</v>
      </c>
      <c r="Q30" s="145">
        <f aca="true" t="shared" si="25" ref="Q30:Q38">+(5+G30+(2*(J30+L30)))*I30</f>
        <v>16.337623874710744</v>
      </c>
      <c r="R30" s="147">
        <f aca="true" t="shared" si="26" ref="R30:R38">SUM(N30:Q30)</f>
        <v>16.676908531265287</v>
      </c>
      <c r="S30" s="147"/>
      <c r="T30" s="128">
        <f aca="true" t="shared" si="27" ref="T30:T38">IF(D$6=1,(PI()*(C30-(2*D30)+(2*H30))*M30*0.1*0.01*7.85*0.001/(T$16*T$17)),0)</f>
        <v>0</v>
      </c>
      <c r="U30" s="128">
        <f aca="true" t="shared" si="28" ref="U30:U38">IF(D$6=1,(PI()*(C30-(0.5*D30))*(R30)*0.1*0.01*7.85*0.001/(U$16*U$17)),0)</f>
        <v>0</v>
      </c>
      <c r="V30" s="150">
        <f aca="true" t="shared" si="29" ref="V30:V38">IF(D$6=1,0,(PI()*(C30-(2*D30)+(2*H30))*M30*0.1*0.01*7.85*0.001/(V$16*V$17)))</f>
        <v>0.01224443590718256</v>
      </c>
      <c r="W30" s="150">
        <f aca="true" t="shared" si="30" ref="W30:W38">IF(D$6=1,0,(PI()*(C30-(0.5*D30))*(R30)*0.1*0.01*7.85*0.001/(W$16*W$17)))</f>
        <v>0.020283104864064042</v>
      </c>
      <c r="X30" s="150">
        <f t="shared" si="15"/>
        <v>0.0325275407712466</v>
      </c>
    </row>
    <row r="31" spans="1:24" ht="12.75">
      <c r="A31" s="141">
        <v>14</v>
      </c>
      <c r="B31" s="142">
        <v>0.75</v>
      </c>
      <c r="C31" s="143">
        <v>26.7</v>
      </c>
      <c r="D31" s="143">
        <v>2.87</v>
      </c>
      <c r="E31" s="144" t="s">
        <v>85</v>
      </c>
      <c r="F31" s="144">
        <f t="shared" si="0"/>
        <v>1.686651933550091</v>
      </c>
      <c r="G31" s="145">
        <f t="shared" si="1"/>
        <v>3</v>
      </c>
      <c r="H31" s="145">
        <f t="shared" si="17"/>
        <v>2</v>
      </c>
      <c r="I31" s="145">
        <f t="shared" si="18"/>
        <v>2</v>
      </c>
      <c r="J31" s="146">
        <f t="shared" si="19"/>
        <v>0.6675744795416956</v>
      </c>
      <c r="K31" s="147"/>
      <c r="L31" s="145">
        <f t="shared" si="20"/>
        <v>0</v>
      </c>
      <c r="M31" s="145">
        <f t="shared" si="21"/>
        <v>9</v>
      </c>
      <c r="N31" s="145">
        <f t="shared" si="22"/>
        <v>2.6100000000000003</v>
      </c>
      <c r="O31" s="145">
        <f t="shared" si="23"/>
        <v>0.5807897972012752</v>
      </c>
      <c r="P31" s="145">
        <f t="shared" si="24"/>
        <v>0</v>
      </c>
      <c r="Q31" s="145">
        <f t="shared" si="25"/>
        <v>18.67029791816678</v>
      </c>
      <c r="R31" s="147">
        <f t="shared" si="26"/>
        <v>21.861087715368058</v>
      </c>
      <c r="S31" s="147"/>
      <c r="T31" s="128">
        <f t="shared" si="27"/>
        <v>0</v>
      </c>
      <c r="U31" s="128">
        <f t="shared" si="28"/>
        <v>0</v>
      </c>
      <c r="V31" s="150">
        <f t="shared" si="29"/>
        <v>0.011541583090758183</v>
      </c>
      <c r="W31" s="150">
        <f t="shared" si="30"/>
        <v>0.02619432762786395</v>
      </c>
      <c r="X31" s="150">
        <f t="shared" si="15"/>
        <v>0.03773591071862213</v>
      </c>
    </row>
    <row r="32" spans="1:24" ht="12.75">
      <c r="A32" s="141">
        <v>15</v>
      </c>
      <c r="B32" s="142">
        <v>0.75</v>
      </c>
      <c r="C32" s="143">
        <v>26.7</v>
      </c>
      <c r="D32" s="143">
        <v>2.87</v>
      </c>
      <c r="E32" s="144" t="s">
        <v>86</v>
      </c>
      <c r="F32" s="144">
        <f t="shared" si="0"/>
        <v>1.686651933550091</v>
      </c>
      <c r="G32" s="145">
        <f t="shared" si="1"/>
        <v>3</v>
      </c>
      <c r="H32" s="145">
        <f t="shared" si="17"/>
        <v>2</v>
      </c>
      <c r="I32" s="145">
        <f t="shared" si="18"/>
        <v>2</v>
      </c>
      <c r="J32" s="146">
        <f t="shared" si="19"/>
        <v>0.6675744795416956</v>
      </c>
      <c r="K32" s="147"/>
      <c r="L32" s="145">
        <f t="shared" si="20"/>
        <v>0</v>
      </c>
      <c r="M32" s="145">
        <f t="shared" si="21"/>
        <v>9</v>
      </c>
      <c r="N32" s="145">
        <f t="shared" si="22"/>
        <v>2.6100000000000003</v>
      </c>
      <c r="O32" s="145">
        <f t="shared" si="23"/>
        <v>0.5807897972012752</v>
      </c>
      <c r="P32" s="145">
        <f t="shared" si="24"/>
        <v>0</v>
      </c>
      <c r="Q32" s="145">
        <f t="shared" si="25"/>
        <v>18.67029791816678</v>
      </c>
      <c r="R32" s="147">
        <f t="shared" si="26"/>
        <v>21.861087715368058</v>
      </c>
      <c r="S32" s="147"/>
      <c r="T32" s="128">
        <f t="shared" si="27"/>
        <v>0</v>
      </c>
      <c r="U32" s="128">
        <f t="shared" si="28"/>
        <v>0</v>
      </c>
      <c r="V32" s="150">
        <f t="shared" si="29"/>
        <v>0.011541583090758183</v>
      </c>
      <c r="W32" s="150">
        <f t="shared" si="30"/>
        <v>0.02619432762786395</v>
      </c>
      <c r="X32" s="150">
        <f t="shared" si="15"/>
        <v>0.03773591071862213</v>
      </c>
    </row>
    <row r="33" spans="1:24" ht="12.75">
      <c r="A33" s="141">
        <v>16</v>
      </c>
      <c r="B33" s="142">
        <v>0.75</v>
      </c>
      <c r="C33" s="143">
        <v>26.7</v>
      </c>
      <c r="D33" s="143">
        <v>2.87</v>
      </c>
      <c r="E33" s="144" t="s">
        <v>87</v>
      </c>
      <c r="F33" s="144">
        <f t="shared" si="0"/>
        <v>1.686651933550091</v>
      </c>
      <c r="G33" s="145">
        <f t="shared" si="1"/>
        <v>3</v>
      </c>
      <c r="H33" s="145">
        <f t="shared" si="17"/>
        <v>2</v>
      </c>
      <c r="I33" s="145">
        <f t="shared" si="18"/>
        <v>2</v>
      </c>
      <c r="J33" s="146">
        <f t="shared" si="19"/>
        <v>0.6675744795416956</v>
      </c>
      <c r="K33" s="147"/>
      <c r="L33" s="145">
        <f t="shared" si="20"/>
        <v>0</v>
      </c>
      <c r="M33" s="145">
        <f t="shared" si="21"/>
        <v>9</v>
      </c>
      <c r="N33" s="145">
        <f t="shared" si="22"/>
        <v>2.6100000000000003</v>
      </c>
      <c r="O33" s="145">
        <f t="shared" si="23"/>
        <v>0.5807897972012752</v>
      </c>
      <c r="P33" s="145">
        <f t="shared" si="24"/>
        <v>0</v>
      </c>
      <c r="Q33" s="145">
        <f t="shared" si="25"/>
        <v>18.67029791816678</v>
      </c>
      <c r="R33" s="147">
        <f t="shared" si="26"/>
        <v>21.861087715368058</v>
      </c>
      <c r="S33" s="147"/>
      <c r="T33" s="128">
        <f t="shared" si="27"/>
        <v>0</v>
      </c>
      <c r="U33" s="128">
        <f t="shared" si="28"/>
        <v>0</v>
      </c>
      <c r="V33" s="150">
        <f t="shared" si="29"/>
        <v>0.011541583090758183</v>
      </c>
      <c r="W33" s="150">
        <f t="shared" si="30"/>
        <v>0.02619432762786395</v>
      </c>
      <c r="X33" s="150">
        <f t="shared" si="15"/>
        <v>0.03773591071862213</v>
      </c>
    </row>
    <row r="34" spans="1:24" ht="12.75">
      <c r="A34" s="141">
        <v>17</v>
      </c>
      <c r="B34" s="142">
        <v>0.75</v>
      </c>
      <c r="C34" s="143">
        <v>26.7</v>
      </c>
      <c r="D34" s="143">
        <v>3.91</v>
      </c>
      <c r="E34" s="144" t="s">
        <v>88</v>
      </c>
      <c r="F34" s="144">
        <f t="shared" si="0"/>
        <v>2.1975593450343194</v>
      </c>
      <c r="G34" s="145">
        <f t="shared" si="1"/>
        <v>3</v>
      </c>
      <c r="H34" s="145">
        <f t="shared" si="17"/>
        <v>2</v>
      </c>
      <c r="I34" s="145">
        <f t="shared" si="18"/>
        <v>2</v>
      </c>
      <c r="J34" s="146">
        <f t="shared" si="19"/>
        <v>1.4655945470398144</v>
      </c>
      <c r="K34" s="147"/>
      <c r="L34" s="145">
        <f t="shared" si="20"/>
        <v>0</v>
      </c>
      <c r="M34" s="145">
        <f t="shared" si="21"/>
        <v>9</v>
      </c>
      <c r="N34" s="145">
        <f t="shared" si="22"/>
        <v>5.73</v>
      </c>
      <c r="O34" s="145">
        <f t="shared" si="23"/>
        <v>2.7992855848460456</v>
      </c>
      <c r="P34" s="145">
        <f t="shared" si="24"/>
        <v>0</v>
      </c>
      <c r="Q34" s="145">
        <f t="shared" si="25"/>
        <v>21.86237818815926</v>
      </c>
      <c r="R34" s="147">
        <f t="shared" si="26"/>
        <v>30.391663773005305</v>
      </c>
      <c r="S34" s="147"/>
      <c r="T34" s="128">
        <f t="shared" si="27"/>
        <v>0</v>
      </c>
      <c r="U34" s="128">
        <f t="shared" si="28"/>
        <v>0</v>
      </c>
      <c r="V34" s="150">
        <f t="shared" si="29"/>
        <v>0.010579784499861666</v>
      </c>
      <c r="W34" s="150">
        <f t="shared" si="30"/>
        <v>0.03566630506173573</v>
      </c>
      <c r="X34" s="150">
        <f t="shared" si="15"/>
        <v>0.0462460895615974</v>
      </c>
    </row>
    <row r="35" spans="1:24" ht="12.75">
      <c r="A35" s="141">
        <v>18</v>
      </c>
      <c r="B35" s="142">
        <v>0.75</v>
      </c>
      <c r="C35" s="143">
        <v>26.7</v>
      </c>
      <c r="D35" s="143">
        <v>3.91</v>
      </c>
      <c r="E35" s="144" t="s">
        <v>82</v>
      </c>
      <c r="F35" s="144">
        <f t="shared" si="0"/>
        <v>2.1975593450343194</v>
      </c>
      <c r="G35" s="145">
        <f t="shared" si="1"/>
        <v>3</v>
      </c>
      <c r="H35" s="145">
        <f t="shared" si="17"/>
        <v>2</v>
      </c>
      <c r="I35" s="145">
        <f t="shared" si="18"/>
        <v>2</v>
      </c>
      <c r="J35" s="146">
        <f t="shared" si="19"/>
        <v>1.4655945470398144</v>
      </c>
      <c r="K35" s="147"/>
      <c r="L35" s="145">
        <f t="shared" si="20"/>
        <v>0</v>
      </c>
      <c r="M35" s="145">
        <f t="shared" si="21"/>
        <v>9</v>
      </c>
      <c r="N35" s="145">
        <f t="shared" si="22"/>
        <v>5.73</v>
      </c>
      <c r="O35" s="145">
        <f t="shared" si="23"/>
        <v>2.7992855848460456</v>
      </c>
      <c r="P35" s="145">
        <f t="shared" si="24"/>
        <v>0</v>
      </c>
      <c r="Q35" s="145">
        <f t="shared" si="25"/>
        <v>21.86237818815926</v>
      </c>
      <c r="R35" s="147">
        <f t="shared" si="26"/>
        <v>30.391663773005305</v>
      </c>
      <c r="S35" s="147"/>
      <c r="T35" s="128">
        <f t="shared" si="27"/>
        <v>0</v>
      </c>
      <c r="U35" s="128">
        <f t="shared" si="28"/>
        <v>0</v>
      </c>
      <c r="V35" s="150">
        <f t="shared" si="29"/>
        <v>0.010579784499861666</v>
      </c>
      <c r="W35" s="150">
        <f t="shared" si="30"/>
        <v>0.03566630506173573</v>
      </c>
      <c r="X35" s="150">
        <f t="shared" si="15"/>
        <v>0.0462460895615974</v>
      </c>
    </row>
    <row r="36" spans="1:24" ht="12.75">
      <c r="A36" s="141">
        <v>19</v>
      </c>
      <c r="B36" s="142">
        <v>0.75</v>
      </c>
      <c r="C36" s="143">
        <v>26.7</v>
      </c>
      <c r="D36" s="143">
        <v>3.91</v>
      </c>
      <c r="E36" s="144" t="s">
        <v>89</v>
      </c>
      <c r="F36" s="144">
        <f t="shared" si="0"/>
        <v>2.1975593450343194</v>
      </c>
      <c r="G36" s="145">
        <f t="shared" si="1"/>
        <v>3</v>
      </c>
      <c r="H36" s="145">
        <f t="shared" si="17"/>
        <v>2</v>
      </c>
      <c r="I36" s="145">
        <f t="shared" si="18"/>
        <v>2</v>
      </c>
      <c r="J36" s="146">
        <f t="shared" si="19"/>
        <v>1.4655945470398144</v>
      </c>
      <c r="K36" s="147"/>
      <c r="L36" s="145">
        <f t="shared" si="20"/>
        <v>0</v>
      </c>
      <c r="M36" s="145">
        <f t="shared" si="21"/>
        <v>9</v>
      </c>
      <c r="N36" s="145">
        <f t="shared" si="22"/>
        <v>5.73</v>
      </c>
      <c r="O36" s="145">
        <f t="shared" si="23"/>
        <v>2.7992855848460456</v>
      </c>
      <c r="P36" s="145">
        <f t="shared" si="24"/>
        <v>0</v>
      </c>
      <c r="Q36" s="145">
        <f t="shared" si="25"/>
        <v>21.86237818815926</v>
      </c>
      <c r="R36" s="147">
        <f t="shared" si="26"/>
        <v>30.391663773005305</v>
      </c>
      <c r="S36" s="147"/>
      <c r="T36" s="128">
        <f t="shared" si="27"/>
        <v>0</v>
      </c>
      <c r="U36" s="128">
        <f t="shared" si="28"/>
        <v>0</v>
      </c>
      <c r="V36" s="150">
        <f t="shared" si="29"/>
        <v>0.010579784499861666</v>
      </c>
      <c r="W36" s="150">
        <f t="shared" si="30"/>
        <v>0.03566630506173573</v>
      </c>
      <c r="X36" s="150">
        <f t="shared" si="15"/>
        <v>0.0462460895615974</v>
      </c>
    </row>
    <row r="37" spans="1:24" ht="12.75">
      <c r="A37" s="141">
        <v>20</v>
      </c>
      <c r="B37" s="142">
        <v>0.75</v>
      </c>
      <c r="C37" s="143">
        <v>26.7</v>
      </c>
      <c r="D37" s="143">
        <v>5.56</v>
      </c>
      <c r="E37" s="144" t="s">
        <v>90</v>
      </c>
      <c r="F37" s="144">
        <f t="shared" si="0"/>
        <v>2.898673525544383</v>
      </c>
      <c r="G37" s="145">
        <f t="shared" si="1"/>
        <v>3</v>
      </c>
      <c r="H37" s="145">
        <f t="shared" si="17"/>
        <v>2</v>
      </c>
      <c r="I37" s="145">
        <f t="shared" si="18"/>
        <v>2</v>
      </c>
      <c r="J37" s="146">
        <f t="shared" si="19"/>
        <v>2.7316840772050988</v>
      </c>
      <c r="K37" s="147"/>
      <c r="L37" s="145">
        <f t="shared" si="20"/>
        <v>0</v>
      </c>
      <c r="M37" s="145">
        <f t="shared" si="21"/>
        <v>9</v>
      </c>
      <c r="N37" s="145">
        <f t="shared" si="22"/>
        <v>10.68</v>
      </c>
      <c r="O37" s="145">
        <f t="shared" si="23"/>
        <v>9.72479531485015</v>
      </c>
      <c r="P37" s="145">
        <f t="shared" si="24"/>
        <v>0</v>
      </c>
      <c r="Q37" s="145">
        <f t="shared" si="25"/>
        <v>26.926736308820395</v>
      </c>
      <c r="R37" s="147">
        <f t="shared" si="26"/>
        <v>47.33153162367054</v>
      </c>
      <c r="S37" s="147"/>
      <c r="T37" s="128">
        <f t="shared" si="27"/>
        <v>0</v>
      </c>
      <c r="U37" s="128">
        <f t="shared" si="28"/>
        <v>0</v>
      </c>
      <c r="V37" s="150">
        <f t="shared" si="29"/>
        <v>0.00905385404315085</v>
      </c>
      <c r="W37" s="150">
        <f t="shared" si="30"/>
        <v>0.05369426716278277</v>
      </c>
      <c r="X37" s="150">
        <f t="shared" si="15"/>
        <v>0.06274812120593362</v>
      </c>
    </row>
    <row r="38" spans="1:24" ht="12.75">
      <c r="A38" s="141">
        <v>21</v>
      </c>
      <c r="B38" s="142">
        <v>0.75</v>
      </c>
      <c r="C38" s="143">
        <v>26.7</v>
      </c>
      <c r="D38" s="143">
        <v>7.821</v>
      </c>
      <c r="E38" s="144" t="s">
        <v>83</v>
      </c>
      <c r="F38" s="144">
        <f t="shared" si="0"/>
        <v>3.64133639405958</v>
      </c>
      <c r="G38" s="145">
        <f t="shared" si="1"/>
        <v>3</v>
      </c>
      <c r="H38" s="145">
        <f t="shared" si="17"/>
        <v>2</v>
      </c>
      <c r="I38" s="145">
        <f t="shared" si="18"/>
        <v>2</v>
      </c>
      <c r="J38" s="146">
        <f t="shared" si="19"/>
        <v>4.466610397025528</v>
      </c>
      <c r="K38" s="147"/>
      <c r="L38" s="145">
        <f t="shared" si="20"/>
        <v>0</v>
      </c>
      <c r="M38" s="145">
        <f t="shared" si="21"/>
        <v>9</v>
      </c>
      <c r="N38" s="145">
        <f t="shared" si="22"/>
        <v>17.463</v>
      </c>
      <c r="O38" s="145">
        <f t="shared" si="23"/>
        <v>26.0001391210856</v>
      </c>
      <c r="P38" s="145">
        <f t="shared" si="24"/>
        <v>0</v>
      </c>
      <c r="Q38" s="145">
        <f t="shared" si="25"/>
        <v>33.86644158810211</v>
      </c>
      <c r="R38" s="147">
        <f t="shared" si="26"/>
        <v>77.32958070918772</v>
      </c>
      <c r="S38" s="147"/>
      <c r="T38" s="128">
        <f t="shared" si="27"/>
        <v>0</v>
      </c>
      <c r="U38" s="128">
        <f t="shared" si="28"/>
        <v>0</v>
      </c>
      <c r="V38" s="150">
        <f t="shared" si="29"/>
        <v>0.006962866914288331</v>
      </c>
      <c r="W38" s="150">
        <f t="shared" si="30"/>
        <v>0.08357889751409352</v>
      </c>
      <c r="X38" s="150">
        <f t="shared" si="15"/>
        <v>0.09054176442838185</v>
      </c>
    </row>
    <row r="39" spans="1:24" ht="12.75">
      <c r="A39" s="141">
        <v>22</v>
      </c>
      <c r="B39" s="142"/>
      <c r="C39" s="143"/>
      <c r="D39" s="143"/>
      <c r="E39" s="144"/>
      <c r="F39" s="144">
        <f t="shared" si="0"/>
        <v>0</v>
      </c>
      <c r="G39" s="145"/>
      <c r="H39" s="145"/>
      <c r="I39" s="145"/>
      <c r="J39" s="146"/>
      <c r="K39" s="147"/>
      <c r="L39" s="145"/>
      <c r="M39" s="145"/>
      <c r="N39" s="145"/>
      <c r="O39" s="145"/>
      <c r="P39" s="145"/>
      <c r="Q39" s="145"/>
      <c r="R39" s="147"/>
      <c r="S39" s="147"/>
      <c r="T39" s="128"/>
      <c r="U39" s="128"/>
      <c r="V39" s="150"/>
      <c r="W39" s="150"/>
      <c r="X39" s="150">
        <f t="shared" si="15"/>
        <v>0</v>
      </c>
    </row>
    <row r="40" spans="1:24" ht="12.75">
      <c r="A40" s="141">
        <v>23</v>
      </c>
      <c r="B40" s="142">
        <v>1</v>
      </c>
      <c r="C40" s="143">
        <v>33.4</v>
      </c>
      <c r="D40" s="143">
        <v>1.65</v>
      </c>
      <c r="E40" s="144" t="s">
        <v>81</v>
      </c>
      <c r="F40" s="144">
        <f t="shared" si="0"/>
        <v>1.291954453348492</v>
      </c>
      <c r="G40" s="145">
        <f t="shared" si="1"/>
        <v>3</v>
      </c>
      <c r="H40" s="145">
        <f t="shared" si="17"/>
        <v>1.65</v>
      </c>
      <c r="I40" s="145">
        <f>IF(D40&lt;=19,2,3)</f>
        <v>2</v>
      </c>
      <c r="J40" s="146">
        <f>IF(D40&lt;=19,(D40-H40)*TAN($C$8*PI()/180),(19-H40)*TAN($C$8*PI()/180))</f>
        <v>0</v>
      </c>
      <c r="K40" s="147"/>
      <c r="L40" s="145">
        <f>IF(D40&lt;=19,0,(D40-19)*TAN($C$10*PI()/180))</f>
        <v>0</v>
      </c>
      <c r="M40" s="145">
        <f>+G40*(H40*1.5)</f>
        <v>7.424999999999999</v>
      </c>
      <c r="N40" s="145">
        <f>+G40*(D40-H40)</f>
        <v>0</v>
      </c>
      <c r="O40" s="145">
        <f>IF(D40&lt;=19,(D40-H40)*J40,(19-H40)*J40)</f>
        <v>0</v>
      </c>
      <c r="P40" s="145">
        <f>IF(D40&lt;=19,0,(J40*(D40-19)*2)+((L40)*(D40-19)))</f>
        <v>0</v>
      </c>
      <c r="Q40" s="145">
        <f>+(5+G40+(2*(J40+L40)))*I40</f>
        <v>16</v>
      </c>
      <c r="R40" s="147">
        <f>SUM(N40:Q40)</f>
        <v>16</v>
      </c>
      <c r="S40" s="147"/>
      <c r="T40" s="128">
        <f>IF(D$6=1,(PI()*(C40-(2*D40)+(2*H40))*M40*0.1*0.01*7.85*0.001/(T$16*T$17)),0)</f>
        <v>0</v>
      </c>
      <c r="U40" s="128">
        <f>IF(D$6=1,(PI()*(C40-(0.5*D40))*(R40)*0.1*0.01*7.85*0.001/(U$16*U$17)),0)</f>
        <v>0</v>
      </c>
      <c r="V40" s="150">
        <f>IF(D$6=1,0,(PI()*(C40-(2*D40)+(2*H40))*M40*0.1*0.01*7.85*0.001/(V$16*V$17)))</f>
        <v>0.012741519313535324</v>
      </c>
      <c r="W40" s="150">
        <f>IF(D$6=1,0,(PI()*(C40-(0.5*D40))*(R40)*0.1*0.01*7.85*0.001/(W$16*W$17)))</f>
        <v>0.024718413489904518</v>
      </c>
      <c r="X40" s="150">
        <f t="shared" si="15"/>
        <v>0.037459932803439844</v>
      </c>
    </row>
    <row r="41" spans="1:24" ht="12.75">
      <c r="A41" s="141">
        <v>24</v>
      </c>
      <c r="B41" s="142">
        <v>1</v>
      </c>
      <c r="C41" s="143">
        <v>33.4</v>
      </c>
      <c r="D41" s="143">
        <v>2.77</v>
      </c>
      <c r="E41" s="144" t="s">
        <v>84</v>
      </c>
      <c r="F41" s="144">
        <f t="shared" si="0"/>
        <v>2.092407631396767</v>
      </c>
      <c r="G41" s="145">
        <f t="shared" si="1"/>
        <v>3</v>
      </c>
      <c r="H41" s="145">
        <f t="shared" si="17"/>
        <v>2</v>
      </c>
      <c r="I41" s="145">
        <f aca="true" t="shared" si="31" ref="I41:I49">IF(D41&lt;=19,2,3)</f>
        <v>2</v>
      </c>
      <c r="J41" s="146">
        <f aca="true" t="shared" si="32" ref="J41:J49">IF(D41&lt;=19,(D41-H41)*TAN($C$8*PI()/180),(19-H41)*TAN($C$8*PI()/180))</f>
        <v>0.5908417807437994</v>
      </c>
      <c r="K41" s="147"/>
      <c r="L41" s="145">
        <f aca="true" t="shared" si="33" ref="L41:L49">IF(D41&lt;=19,0,(D41-19)*TAN($C$10*PI()/180))</f>
        <v>0</v>
      </c>
      <c r="M41" s="145">
        <f aca="true" t="shared" si="34" ref="M41:M49">+G41*(H41*1.5)</f>
        <v>9</v>
      </c>
      <c r="N41" s="145">
        <f aca="true" t="shared" si="35" ref="N41:N49">+G41*(D41-H41)</f>
        <v>2.31</v>
      </c>
      <c r="O41" s="145">
        <f aca="true" t="shared" si="36" ref="O41:O49">IF(D41&lt;=19,(D41-H41)*J41,(19-H41)*J41)</f>
        <v>0.45494817117272557</v>
      </c>
      <c r="P41" s="145">
        <f aca="true" t="shared" si="37" ref="P41:P49">IF(D41&lt;=19,0,(J41*(D41-19)*2)+((L41)*(D41-19)))</f>
        <v>0</v>
      </c>
      <c r="Q41" s="145">
        <f aca="true" t="shared" si="38" ref="Q41:Q49">+(5+G41+(2*(J41+L41)))*I41</f>
        <v>18.3633671229752</v>
      </c>
      <c r="R41" s="147">
        <f aca="true" t="shared" si="39" ref="R41:R49">SUM(N41:Q41)</f>
        <v>21.128315294147924</v>
      </c>
      <c r="S41" s="147"/>
      <c r="T41" s="128">
        <f aca="true" t="shared" si="40" ref="T41:T49">IF(D$6=1,(PI()*(C41-(2*D41)+(2*H41))*M41*0.1*0.01*7.85*0.001/(T$16*T$17)),0)</f>
        <v>0</v>
      </c>
      <c r="U41" s="128">
        <f aca="true" t="shared" si="41" ref="U41:U49">IF(D$6=1,(PI()*(C41-(0.5*D41))*(R41)*0.1*0.01*7.85*0.001/(U$16*U$17)),0)</f>
        <v>0</v>
      </c>
      <c r="V41" s="150">
        <f aca="true" t="shared" si="42" ref="V41:V49">IF(D$6=1,0,(PI()*(C41-(2*D41)+(2*H41))*M41*0.1*0.01*7.85*0.001/(V$16*V$17)))</f>
        <v>0.014732164954789892</v>
      </c>
      <c r="W41" s="150">
        <f aca="true" t="shared" si="43" ref="W41:W49">IF(D$6=1,0,(PI()*(C41-(0.5*D41))*(R41)*0.1*0.01*7.85*0.001/(W$16*W$17)))</f>
        <v>0.032080014884215455</v>
      </c>
      <c r="X41" s="150">
        <f t="shared" si="15"/>
        <v>0.04681217983900535</v>
      </c>
    </row>
    <row r="42" spans="1:24" ht="12.75">
      <c r="A42" s="141">
        <v>25</v>
      </c>
      <c r="B42" s="142">
        <v>1</v>
      </c>
      <c r="C42" s="143">
        <v>33.4</v>
      </c>
      <c r="D42" s="143">
        <v>3.38</v>
      </c>
      <c r="E42" s="144" t="s">
        <v>85</v>
      </c>
      <c r="F42" s="144">
        <f t="shared" si="0"/>
        <v>2.502343453888493</v>
      </c>
      <c r="G42" s="145">
        <f t="shared" si="1"/>
        <v>3</v>
      </c>
      <c r="H42" s="145">
        <f t="shared" si="17"/>
        <v>2</v>
      </c>
      <c r="I42" s="145">
        <f t="shared" si="31"/>
        <v>2</v>
      </c>
      <c r="J42" s="146">
        <f t="shared" si="32"/>
        <v>1.0589112434109653</v>
      </c>
      <c r="K42" s="147"/>
      <c r="L42" s="145">
        <f t="shared" si="33"/>
        <v>0</v>
      </c>
      <c r="M42" s="145">
        <f t="shared" si="34"/>
        <v>9</v>
      </c>
      <c r="N42" s="145">
        <f t="shared" si="35"/>
        <v>4.14</v>
      </c>
      <c r="O42" s="145">
        <f t="shared" si="36"/>
        <v>1.461297515907132</v>
      </c>
      <c r="P42" s="145">
        <f t="shared" si="37"/>
        <v>0</v>
      </c>
      <c r="Q42" s="145">
        <f t="shared" si="38"/>
        <v>20.23564497364386</v>
      </c>
      <c r="R42" s="147">
        <f t="shared" si="39"/>
        <v>25.836942489550992</v>
      </c>
      <c r="S42" s="147"/>
      <c r="T42" s="128">
        <f t="shared" si="40"/>
        <v>0</v>
      </c>
      <c r="U42" s="128">
        <f t="shared" si="41"/>
        <v>0</v>
      </c>
      <c r="V42" s="150">
        <f t="shared" si="42"/>
        <v>0.014168033088975587</v>
      </c>
      <c r="W42" s="150">
        <f t="shared" si="43"/>
        <v>0.03885559344328008</v>
      </c>
      <c r="X42" s="150">
        <f t="shared" si="15"/>
        <v>0.05302362653225567</v>
      </c>
    </row>
    <row r="43" spans="1:24" ht="12.75">
      <c r="A43" s="141">
        <v>26</v>
      </c>
      <c r="B43" s="142">
        <v>1</v>
      </c>
      <c r="C43" s="143">
        <v>33.4</v>
      </c>
      <c r="D43" s="143">
        <v>3.38</v>
      </c>
      <c r="E43" s="144" t="s">
        <v>86</v>
      </c>
      <c r="F43" s="144">
        <f t="shared" si="0"/>
        <v>2.502343453888493</v>
      </c>
      <c r="G43" s="145">
        <f t="shared" si="1"/>
        <v>3</v>
      </c>
      <c r="H43" s="145">
        <f t="shared" si="17"/>
        <v>2</v>
      </c>
      <c r="I43" s="145">
        <f t="shared" si="31"/>
        <v>2</v>
      </c>
      <c r="J43" s="146">
        <f t="shared" si="32"/>
        <v>1.0589112434109653</v>
      </c>
      <c r="K43" s="147"/>
      <c r="L43" s="145">
        <f t="shared" si="33"/>
        <v>0</v>
      </c>
      <c r="M43" s="145">
        <f t="shared" si="34"/>
        <v>9</v>
      </c>
      <c r="N43" s="145">
        <f t="shared" si="35"/>
        <v>4.14</v>
      </c>
      <c r="O43" s="145">
        <f t="shared" si="36"/>
        <v>1.461297515907132</v>
      </c>
      <c r="P43" s="145">
        <f t="shared" si="37"/>
        <v>0</v>
      </c>
      <c r="Q43" s="145">
        <f t="shared" si="38"/>
        <v>20.23564497364386</v>
      </c>
      <c r="R43" s="147">
        <f t="shared" si="39"/>
        <v>25.836942489550992</v>
      </c>
      <c r="S43" s="147"/>
      <c r="T43" s="128">
        <f t="shared" si="40"/>
        <v>0</v>
      </c>
      <c r="U43" s="128">
        <f t="shared" si="41"/>
        <v>0</v>
      </c>
      <c r="V43" s="150">
        <f t="shared" si="42"/>
        <v>0.014168033088975587</v>
      </c>
      <c r="W43" s="150">
        <f t="shared" si="43"/>
        <v>0.03885559344328008</v>
      </c>
      <c r="X43" s="150">
        <f t="shared" si="15"/>
        <v>0.05302362653225567</v>
      </c>
    </row>
    <row r="44" spans="1:24" ht="12.75">
      <c r="A44" s="141">
        <v>27</v>
      </c>
      <c r="B44" s="142">
        <v>1</v>
      </c>
      <c r="C44" s="143">
        <v>33.4</v>
      </c>
      <c r="D44" s="143">
        <v>3.38</v>
      </c>
      <c r="E44" s="144" t="s">
        <v>87</v>
      </c>
      <c r="F44" s="144">
        <f t="shared" si="0"/>
        <v>2.502343453888493</v>
      </c>
      <c r="G44" s="145">
        <f t="shared" si="1"/>
        <v>3</v>
      </c>
      <c r="H44" s="145">
        <f t="shared" si="17"/>
        <v>2</v>
      </c>
      <c r="I44" s="145">
        <f t="shared" si="31"/>
        <v>2</v>
      </c>
      <c r="J44" s="146">
        <f t="shared" si="32"/>
        <v>1.0589112434109653</v>
      </c>
      <c r="K44" s="147"/>
      <c r="L44" s="145">
        <f t="shared" si="33"/>
        <v>0</v>
      </c>
      <c r="M44" s="145">
        <f t="shared" si="34"/>
        <v>9</v>
      </c>
      <c r="N44" s="145">
        <f t="shared" si="35"/>
        <v>4.14</v>
      </c>
      <c r="O44" s="145">
        <f t="shared" si="36"/>
        <v>1.461297515907132</v>
      </c>
      <c r="P44" s="145">
        <f t="shared" si="37"/>
        <v>0</v>
      </c>
      <c r="Q44" s="145">
        <f t="shared" si="38"/>
        <v>20.23564497364386</v>
      </c>
      <c r="R44" s="147">
        <f t="shared" si="39"/>
        <v>25.836942489550992</v>
      </c>
      <c r="S44" s="147"/>
      <c r="T44" s="128">
        <f t="shared" si="40"/>
        <v>0</v>
      </c>
      <c r="U44" s="128">
        <f t="shared" si="41"/>
        <v>0</v>
      </c>
      <c r="V44" s="150">
        <f t="shared" si="42"/>
        <v>0.014168033088975587</v>
      </c>
      <c r="W44" s="150">
        <f t="shared" si="43"/>
        <v>0.03885559344328008</v>
      </c>
      <c r="X44" s="150">
        <f t="shared" si="15"/>
        <v>0.05302362653225567</v>
      </c>
    </row>
    <row r="45" spans="1:24" ht="12.75">
      <c r="A45" s="141">
        <v>28</v>
      </c>
      <c r="B45" s="142">
        <v>1</v>
      </c>
      <c r="C45" s="143">
        <v>33.4</v>
      </c>
      <c r="D45" s="143">
        <v>4.55</v>
      </c>
      <c r="E45" s="144" t="s">
        <v>88</v>
      </c>
      <c r="F45" s="144">
        <f t="shared" si="0"/>
        <v>3.2372537571925197</v>
      </c>
      <c r="G45" s="145">
        <f t="shared" si="1"/>
        <v>3</v>
      </c>
      <c r="H45" s="145">
        <f t="shared" si="17"/>
        <v>2</v>
      </c>
      <c r="I45" s="145">
        <f t="shared" si="31"/>
        <v>2</v>
      </c>
      <c r="J45" s="146">
        <f t="shared" si="32"/>
        <v>1.9566838193463487</v>
      </c>
      <c r="K45" s="147"/>
      <c r="L45" s="145">
        <f t="shared" si="33"/>
        <v>0</v>
      </c>
      <c r="M45" s="145">
        <f t="shared" si="34"/>
        <v>9</v>
      </c>
      <c r="N45" s="145">
        <f t="shared" si="35"/>
        <v>7.6499999999999995</v>
      </c>
      <c r="O45" s="145">
        <f t="shared" si="36"/>
        <v>4.989543739333189</v>
      </c>
      <c r="P45" s="145">
        <f t="shared" si="37"/>
        <v>0</v>
      </c>
      <c r="Q45" s="145">
        <f t="shared" si="38"/>
        <v>23.826735277385396</v>
      </c>
      <c r="R45" s="147">
        <f t="shared" si="39"/>
        <v>36.46627901671859</v>
      </c>
      <c r="S45" s="147"/>
      <c r="T45" s="128">
        <f t="shared" si="40"/>
        <v>0</v>
      </c>
      <c r="U45" s="128">
        <f t="shared" si="41"/>
        <v>0</v>
      </c>
      <c r="V45" s="150">
        <f t="shared" si="42"/>
        <v>0.013086009674217008</v>
      </c>
      <c r="W45" s="150">
        <f t="shared" si="43"/>
        <v>0.05382908485950601</v>
      </c>
      <c r="X45" s="150">
        <f t="shared" si="15"/>
        <v>0.06691509453372302</v>
      </c>
    </row>
    <row r="46" spans="1:24" ht="12.75">
      <c r="A46" s="141">
        <v>29</v>
      </c>
      <c r="B46" s="142">
        <v>1</v>
      </c>
      <c r="C46" s="143">
        <v>33.4</v>
      </c>
      <c r="D46" s="143">
        <v>4.55</v>
      </c>
      <c r="E46" s="144" t="s">
        <v>82</v>
      </c>
      <c r="F46" s="144">
        <f t="shared" si="0"/>
        <v>3.2372537571925197</v>
      </c>
      <c r="G46" s="145">
        <f t="shared" si="1"/>
        <v>3</v>
      </c>
      <c r="H46" s="145">
        <f t="shared" si="17"/>
        <v>2</v>
      </c>
      <c r="I46" s="145">
        <f t="shared" si="31"/>
        <v>2</v>
      </c>
      <c r="J46" s="146">
        <f t="shared" si="32"/>
        <v>1.9566838193463487</v>
      </c>
      <c r="K46" s="147"/>
      <c r="L46" s="145">
        <f t="shared" si="33"/>
        <v>0</v>
      </c>
      <c r="M46" s="145">
        <f t="shared" si="34"/>
        <v>9</v>
      </c>
      <c r="N46" s="145">
        <f t="shared" si="35"/>
        <v>7.6499999999999995</v>
      </c>
      <c r="O46" s="145">
        <f t="shared" si="36"/>
        <v>4.989543739333189</v>
      </c>
      <c r="P46" s="145">
        <f t="shared" si="37"/>
        <v>0</v>
      </c>
      <c r="Q46" s="145">
        <f t="shared" si="38"/>
        <v>23.826735277385396</v>
      </c>
      <c r="R46" s="147">
        <f t="shared" si="39"/>
        <v>36.46627901671859</v>
      </c>
      <c r="S46" s="147"/>
      <c r="T46" s="128">
        <f t="shared" si="40"/>
        <v>0</v>
      </c>
      <c r="U46" s="128">
        <f t="shared" si="41"/>
        <v>0</v>
      </c>
      <c r="V46" s="150">
        <f t="shared" si="42"/>
        <v>0.013086009674217008</v>
      </c>
      <c r="W46" s="150">
        <f t="shared" si="43"/>
        <v>0.05382908485950601</v>
      </c>
      <c r="X46" s="150">
        <f t="shared" si="15"/>
        <v>0.06691509453372302</v>
      </c>
    </row>
    <row r="47" spans="1:24" ht="12.75">
      <c r="A47" s="141">
        <v>30</v>
      </c>
      <c r="B47" s="142">
        <v>1</v>
      </c>
      <c r="C47" s="143">
        <v>33.4</v>
      </c>
      <c r="D47" s="143">
        <v>4.55</v>
      </c>
      <c r="E47" s="144" t="s">
        <v>89</v>
      </c>
      <c r="F47" s="144">
        <f t="shared" si="0"/>
        <v>3.2372537571925197</v>
      </c>
      <c r="G47" s="145">
        <f t="shared" si="1"/>
        <v>3</v>
      </c>
      <c r="H47" s="145">
        <f t="shared" si="17"/>
        <v>2</v>
      </c>
      <c r="I47" s="145">
        <f t="shared" si="31"/>
        <v>2</v>
      </c>
      <c r="J47" s="146">
        <f t="shared" si="32"/>
        <v>1.9566838193463487</v>
      </c>
      <c r="K47" s="147"/>
      <c r="L47" s="145">
        <f t="shared" si="33"/>
        <v>0</v>
      </c>
      <c r="M47" s="145">
        <f t="shared" si="34"/>
        <v>9</v>
      </c>
      <c r="N47" s="145">
        <f t="shared" si="35"/>
        <v>7.6499999999999995</v>
      </c>
      <c r="O47" s="145">
        <f t="shared" si="36"/>
        <v>4.989543739333189</v>
      </c>
      <c r="P47" s="145">
        <f t="shared" si="37"/>
        <v>0</v>
      </c>
      <c r="Q47" s="145">
        <f t="shared" si="38"/>
        <v>23.826735277385396</v>
      </c>
      <c r="R47" s="147">
        <f t="shared" si="39"/>
        <v>36.46627901671859</v>
      </c>
      <c r="S47" s="147"/>
      <c r="T47" s="128">
        <f t="shared" si="40"/>
        <v>0</v>
      </c>
      <c r="U47" s="128">
        <f t="shared" si="41"/>
        <v>0</v>
      </c>
      <c r="V47" s="150">
        <f t="shared" si="42"/>
        <v>0.013086009674217008</v>
      </c>
      <c r="W47" s="150">
        <f t="shared" si="43"/>
        <v>0.05382908485950601</v>
      </c>
      <c r="X47" s="150">
        <f t="shared" si="15"/>
        <v>0.06691509453372302</v>
      </c>
    </row>
    <row r="48" spans="1:24" ht="12.75">
      <c r="A48" s="141">
        <v>31</v>
      </c>
      <c r="B48" s="142">
        <v>1</v>
      </c>
      <c r="C48" s="143">
        <v>33.4</v>
      </c>
      <c r="D48" s="143">
        <v>6.35</v>
      </c>
      <c r="E48" s="144" t="s">
        <v>90</v>
      </c>
      <c r="F48" s="144">
        <f t="shared" si="0"/>
        <v>4.236044601585054</v>
      </c>
      <c r="G48" s="145">
        <f t="shared" si="1"/>
        <v>3</v>
      </c>
      <c r="H48" s="145">
        <f t="shared" si="17"/>
        <v>2</v>
      </c>
      <c r="I48" s="145">
        <f t="shared" si="31"/>
        <v>2</v>
      </c>
      <c r="J48" s="146">
        <f t="shared" si="32"/>
        <v>3.337872397708477</v>
      </c>
      <c r="K48" s="147"/>
      <c r="L48" s="145">
        <f t="shared" si="33"/>
        <v>0</v>
      </c>
      <c r="M48" s="145">
        <f t="shared" si="34"/>
        <v>9</v>
      </c>
      <c r="N48" s="145">
        <f t="shared" si="35"/>
        <v>13.049999999999999</v>
      </c>
      <c r="O48" s="145">
        <f t="shared" si="36"/>
        <v>14.519744930031875</v>
      </c>
      <c r="P48" s="145">
        <f t="shared" si="37"/>
        <v>0</v>
      </c>
      <c r="Q48" s="145">
        <f t="shared" si="38"/>
        <v>29.351489590833907</v>
      </c>
      <c r="R48" s="147">
        <f t="shared" si="39"/>
        <v>56.92123452086578</v>
      </c>
      <c r="S48" s="147"/>
      <c r="T48" s="128">
        <f t="shared" si="40"/>
        <v>0</v>
      </c>
      <c r="U48" s="128">
        <f t="shared" si="41"/>
        <v>0</v>
      </c>
      <c r="V48" s="150">
        <f t="shared" si="42"/>
        <v>0.01142135826689612</v>
      </c>
      <c r="W48" s="150">
        <f t="shared" si="43"/>
        <v>0.0815937335472126</v>
      </c>
      <c r="X48" s="150">
        <f t="shared" si="15"/>
        <v>0.09301509181410872</v>
      </c>
    </row>
    <row r="49" spans="1:24" ht="12.75">
      <c r="A49" s="141">
        <v>32</v>
      </c>
      <c r="B49" s="142">
        <v>1</v>
      </c>
      <c r="C49" s="143">
        <v>33.4</v>
      </c>
      <c r="D49" s="143">
        <v>9.091</v>
      </c>
      <c r="E49" s="144" t="s">
        <v>83</v>
      </c>
      <c r="F49" s="144">
        <f t="shared" si="0"/>
        <v>5.450022319282714</v>
      </c>
      <c r="G49" s="145">
        <f t="shared" si="1"/>
        <v>3</v>
      </c>
      <c r="H49" s="145">
        <f t="shared" si="17"/>
        <v>2</v>
      </c>
      <c r="I49" s="145">
        <f t="shared" si="31"/>
        <v>2</v>
      </c>
      <c r="J49" s="146">
        <f t="shared" si="32"/>
        <v>5.441115671758808</v>
      </c>
      <c r="K49" s="147"/>
      <c r="L49" s="145">
        <f t="shared" si="33"/>
        <v>0</v>
      </c>
      <c r="M49" s="145">
        <f t="shared" si="34"/>
        <v>9</v>
      </c>
      <c r="N49" s="145">
        <f t="shared" si="35"/>
        <v>21.272999999999996</v>
      </c>
      <c r="O49" s="145">
        <f t="shared" si="36"/>
        <v>38.5829512284417</v>
      </c>
      <c r="P49" s="145">
        <f t="shared" si="37"/>
        <v>0</v>
      </c>
      <c r="Q49" s="145">
        <f t="shared" si="38"/>
        <v>37.764462687035234</v>
      </c>
      <c r="R49" s="147">
        <f t="shared" si="39"/>
        <v>97.62041391547693</v>
      </c>
      <c r="S49" s="147"/>
      <c r="T49" s="128">
        <f t="shared" si="40"/>
        <v>0</v>
      </c>
      <c r="U49" s="128">
        <f t="shared" si="41"/>
        <v>0</v>
      </c>
      <c r="V49" s="150">
        <f t="shared" si="42"/>
        <v>0.00888646409608136</v>
      </c>
      <c r="W49" s="150">
        <f t="shared" si="43"/>
        <v>0.13358890304068202</v>
      </c>
      <c r="X49" s="150">
        <f t="shared" si="15"/>
        <v>0.14247536713676337</v>
      </c>
    </row>
    <row r="50" spans="1:24" ht="12.75">
      <c r="A50" s="141">
        <v>33</v>
      </c>
      <c r="B50" s="142"/>
      <c r="C50" s="143"/>
      <c r="D50" s="143"/>
      <c r="E50" s="144"/>
      <c r="F50" s="144">
        <f t="shared" si="0"/>
        <v>0</v>
      </c>
      <c r="G50" s="145"/>
      <c r="H50" s="145"/>
      <c r="I50" s="145"/>
      <c r="J50" s="146"/>
      <c r="K50" s="147"/>
      <c r="L50" s="145"/>
      <c r="M50" s="145"/>
      <c r="N50" s="145"/>
      <c r="O50" s="145"/>
      <c r="P50" s="145"/>
      <c r="Q50" s="145"/>
      <c r="R50" s="147"/>
      <c r="S50" s="147"/>
      <c r="T50" s="128"/>
      <c r="U50" s="128"/>
      <c r="V50" s="150"/>
      <c r="W50" s="150"/>
      <c r="X50" s="150">
        <f t="shared" si="15"/>
        <v>0</v>
      </c>
    </row>
    <row r="51" spans="1:24" ht="12.75">
      <c r="A51" s="141">
        <v>34</v>
      </c>
      <c r="B51" s="142">
        <v>1.25</v>
      </c>
      <c r="C51" s="143">
        <v>42.65</v>
      </c>
      <c r="D51" s="143">
        <v>1.65</v>
      </c>
      <c r="E51" s="144" t="s">
        <v>81</v>
      </c>
      <c r="F51" s="144">
        <f t="shared" si="0"/>
        <v>1.6683506326704935</v>
      </c>
      <c r="G51" s="145">
        <f t="shared" si="1"/>
        <v>3</v>
      </c>
      <c r="H51" s="145">
        <f t="shared" si="17"/>
        <v>1.65</v>
      </c>
      <c r="I51" s="145">
        <f>IF(D51&lt;=19,2,3)</f>
        <v>2</v>
      </c>
      <c r="J51" s="146">
        <f>IF(D51&lt;=19,(D51-H51)*TAN($C$8*PI()/180),(19-H51)*TAN($C$8*PI()/180))</f>
        <v>0</v>
      </c>
      <c r="K51" s="147"/>
      <c r="L51" s="145">
        <f>IF(D51&lt;=19,0,(D51-19)*TAN($C$10*PI()/180))</f>
        <v>0</v>
      </c>
      <c r="M51" s="145">
        <f>+G51*(H51*1.5)</f>
        <v>7.424999999999999</v>
      </c>
      <c r="N51" s="145">
        <f>+G51*(D51-H51)</f>
        <v>0</v>
      </c>
      <c r="O51" s="145">
        <f>IF(D51&lt;=19,(D51-H51)*J51,(19-H51)*J51)</f>
        <v>0</v>
      </c>
      <c r="P51" s="145">
        <f>IF(D51&lt;=19,0,(J51*(D51-19)*2)+((L51)*(D51-19)))</f>
        <v>0</v>
      </c>
      <c r="Q51" s="145">
        <f>+(5+G51+(2*(J51+L51)))*I51</f>
        <v>16</v>
      </c>
      <c r="R51" s="147">
        <f>SUM(N51:Q51)</f>
        <v>16</v>
      </c>
      <c r="S51" s="147"/>
      <c r="T51" s="128">
        <f>IF(D$6=1,(PI()*(C51-(2*D51)+(2*H51))*M51*0.1*0.01*7.85*0.001/(T$16*T$17)),0)</f>
        <v>0</v>
      </c>
      <c r="U51" s="128">
        <f>IF(D$6=1,(PI()*(C51-(0.5*D51))*(R51)*0.1*0.01*7.85*0.001/(U$16*U$17)),0)</f>
        <v>0</v>
      </c>
      <c r="V51" s="150">
        <f>IF(D$6=1,0,(PI()*(C51-(2*D51)+(2*H51))*M51*0.1*0.01*7.85*0.001/(V$16*V$17)))</f>
        <v>0.016270233494679088</v>
      </c>
      <c r="W51" s="150">
        <f>IF(D$6=1,0,(PI()*(C51-(0.5*D51))*(R51)*0.1*0.01*7.85*0.001/(W$16*W$17)))</f>
        <v>0.03173745646094418</v>
      </c>
      <c r="X51" s="150">
        <f t="shared" si="15"/>
        <v>0.04800768995562327</v>
      </c>
    </row>
    <row r="52" spans="1:24" ht="12.75">
      <c r="A52" s="141">
        <v>35</v>
      </c>
      <c r="B52" s="142">
        <v>1.25</v>
      </c>
      <c r="C52" s="143">
        <v>42.65</v>
      </c>
      <c r="D52" s="143">
        <v>2.77</v>
      </c>
      <c r="E52" s="144" t="s">
        <v>84</v>
      </c>
      <c r="F52" s="144">
        <f t="shared" si="0"/>
        <v>2.724296974864612</v>
      </c>
      <c r="G52" s="145">
        <f t="shared" si="1"/>
        <v>3</v>
      </c>
      <c r="H52" s="145">
        <f t="shared" si="17"/>
        <v>2</v>
      </c>
      <c r="I52" s="145">
        <f aca="true" t="shared" si="44" ref="I52:I60">IF(D52&lt;=19,2,3)</f>
        <v>2</v>
      </c>
      <c r="J52" s="146">
        <f aca="true" t="shared" si="45" ref="J52:J60">IF(D52&lt;=19,(D52-H52)*TAN($C$8*PI()/180),(19-H52)*TAN($C$8*PI()/180))</f>
        <v>0.5908417807437994</v>
      </c>
      <c r="K52" s="147"/>
      <c r="L52" s="145">
        <f aca="true" t="shared" si="46" ref="L52:L60">IF(D52&lt;=19,0,(D52-19)*TAN($C$10*PI()/180))</f>
        <v>0</v>
      </c>
      <c r="M52" s="145">
        <f aca="true" t="shared" si="47" ref="M52:M60">+G52*(H52*1.5)</f>
        <v>9</v>
      </c>
      <c r="N52" s="145">
        <f aca="true" t="shared" si="48" ref="N52:N60">+G52*(D52-H52)</f>
        <v>2.31</v>
      </c>
      <c r="O52" s="145">
        <f aca="true" t="shared" si="49" ref="O52:O60">IF(D52&lt;=19,(D52-H52)*J52,(19-H52)*J52)</f>
        <v>0.45494817117272557</v>
      </c>
      <c r="P52" s="145">
        <f aca="true" t="shared" si="50" ref="P52:P60">IF(D52&lt;=19,0,(J52*(D52-19)*2)+((L52)*(D52-19)))</f>
        <v>0</v>
      </c>
      <c r="Q52" s="145">
        <f aca="true" t="shared" si="51" ref="Q52:Q60">+(5+G52+(2*(J52+L52)))*I52</f>
        <v>18.3633671229752</v>
      </c>
      <c r="R52" s="147">
        <f aca="true" t="shared" si="52" ref="R52:R60">SUM(N52:Q52)</f>
        <v>21.128315294147924</v>
      </c>
      <c r="S52" s="147"/>
      <c r="T52" s="128">
        <f aca="true" t="shared" si="53" ref="T52:T60">IF(D$6=1,(PI()*(C52-(2*D52)+(2*H52))*M52*0.1*0.01*7.85*0.001/(T$16*T$17)),0)</f>
        <v>0</v>
      </c>
      <c r="U52" s="128">
        <f aca="true" t="shared" si="54" ref="U52:U60">IF(D$6=1,(PI()*(C52-(0.5*D52))*(R52)*0.1*0.01*7.85*0.001/(U$16*U$17)),0)</f>
        <v>0</v>
      </c>
      <c r="V52" s="150">
        <f aca="true" t="shared" si="55" ref="V52:V60">IF(D$6=1,0,(PI()*(C52-(2*D52)+(2*H52))*M52*0.1*0.01*7.85*0.001/(V$16*V$17)))</f>
        <v>0.019009394265267182</v>
      </c>
      <c r="W52" s="150">
        <f aca="true" t="shared" si="56" ref="W52:W60">IF(D$6=1,0,(PI()*(C52-(0.5*D52))*(R52)*0.1*0.01*7.85*0.001/(W$16*W$17)))</f>
        <v>0.041348799443921606</v>
      </c>
      <c r="X52" s="150">
        <f t="shared" si="15"/>
        <v>0.06035819370918879</v>
      </c>
    </row>
    <row r="53" spans="1:24" ht="12.75">
      <c r="A53" s="141">
        <v>36</v>
      </c>
      <c r="B53" s="142">
        <v>1.25</v>
      </c>
      <c r="C53" s="143">
        <v>42.65</v>
      </c>
      <c r="D53" s="143">
        <v>3.56</v>
      </c>
      <c r="E53" s="144" t="s">
        <v>85</v>
      </c>
      <c r="F53" s="144">
        <f t="shared" si="0"/>
        <v>3.431904528938343</v>
      </c>
      <c r="G53" s="145">
        <f t="shared" si="1"/>
        <v>3</v>
      </c>
      <c r="H53" s="145">
        <f t="shared" si="17"/>
        <v>2</v>
      </c>
      <c r="I53" s="145">
        <f t="shared" si="44"/>
        <v>2</v>
      </c>
      <c r="J53" s="146">
        <f t="shared" si="45"/>
        <v>1.1970301012471782</v>
      </c>
      <c r="K53" s="147"/>
      <c r="L53" s="145">
        <f t="shared" si="46"/>
        <v>0</v>
      </c>
      <c r="M53" s="145">
        <f t="shared" si="47"/>
        <v>9</v>
      </c>
      <c r="N53" s="145">
        <f t="shared" si="48"/>
        <v>4.68</v>
      </c>
      <c r="O53" s="145">
        <f t="shared" si="49"/>
        <v>1.867366957945598</v>
      </c>
      <c r="P53" s="145">
        <f t="shared" si="50"/>
        <v>0</v>
      </c>
      <c r="Q53" s="145">
        <f t="shared" si="51"/>
        <v>20.788120404988714</v>
      </c>
      <c r="R53" s="147">
        <f t="shared" si="52"/>
        <v>27.335487362934312</v>
      </c>
      <c r="S53" s="147"/>
      <c r="T53" s="128">
        <f t="shared" si="53"/>
        <v>0</v>
      </c>
      <c r="U53" s="128">
        <f t="shared" si="54"/>
        <v>0</v>
      </c>
      <c r="V53" s="150">
        <f t="shared" si="55"/>
        <v>0.01827879725872079</v>
      </c>
      <c r="W53" s="150">
        <f t="shared" si="56"/>
        <v>0.052984354141676536</v>
      </c>
      <c r="X53" s="150">
        <f t="shared" si="15"/>
        <v>0.07126315140039732</v>
      </c>
    </row>
    <row r="54" spans="1:24" ht="12.75">
      <c r="A54" s="141">
        <v>37</v>
      </c>
      <c r="B54" s="142">
        <v>1.25</v>
      </c>
      <c r="C54" s="143">
        <v>42.65</v>
      </c>
      <c r="D54" s="143">
        <v>3.56</v>
      </c>
      <c r="E54" s="144" t="s">
        <v>86</v>
      </c>
      <c r="F54" s="144">
        <f t="shared" si="0"/>
        <v>3.431904528938343</v>
      </c>
      <c r="G54" s="145">
        <f t="shared" si="1"/>
        <v>3</v>
      </c>
      <c r="H54" s="145">
        <f t="shared" si="17"/>
        <v>2</v>
      </c>
      <c r="I54" s="145">
        <f t="shared" si="44"/>
        <v>2</v>
      </c>
      <c r="J54" s="146">
        <f t="shared" si="45"/>
        <v>1.1970301012471782</v>
      </c>
      <c r="K54" s="147"/>
      <c r="L54" s="145">
        <f t="shared" si="46"/>
        <v>0</v>
      </c>
      <c r="M54" s="145">
        <f t="shared" si="47"/>
        <v>9</v>
      </c>
      <c r="N54" s="145">
        <f t="shared" si="48"/>
        <v>4.68</v>
      </c>
      <c r="O54" s="145">
        <f t="shared" si="49"/>
        <v>1.867366957945598</v>
      </c>
      <c r="P54" s="145">
        <f t="shared" si="50"/>
        <v>0</v>
      </c>
      <c r="Q54" s="145">
        <f t="shared" si="51"/>
        <v>20.788120404988714</v>
      </c>
      <c r="R54" s="147">
        <f t="shared" si="52"/>
        <v>27.335487362934312</v>
      </c>
      <c r="S54" s="147"/>
      <c r="T54" s="128">
        <f t="shared" si="53"/>
        <v>0</v>
      </c>
      <c r="U54" s="128">
        <f t="shared" si="54"/>
        <v>0</v>
      </c>
      <c r="V54" s="150">
        <f t="shared" si="55"/>
        <v>0.01827879725872079</v>
      </c>
      <c r="W54" s="150">
        <f t="shared" si="56"/>
        <v>0.052984354141676536</v>
      </c>
      <c r="X54" s="150">
        <f t="shared" si="15"/>
        <v>0.07126315140039732</v>
      </c>
    </row>
    <row r="55" spans="1:24" ht="12.75">
      <c r="A55" s="141">
        <v>38</v>
      </c>
      <c r="B55" s="142">
        <v>1.25</v>
      </c>
      <c r="C55" s="143">
        <v>42.65</v>
      </c>
      <c r="D55" s="143">
        <v>3.56</v>
      </c>
      <c r="E55" s="144" t="s">
        <v>87</v>
      </c>
      <c r="F55" s="144">
        <f t="shared" si="0"/>
        <v>3.431904528938343</v>
      </c>
      <c r="G55" s="145">
        <f t="shared" si="1"/>
        <v>3</v>
      </c>
      <c r="H55" s="145">
        <f t="shared" si="17"/>
        <v>2</v>
      </c>
      <c r="I55" s="145">
        <f t="shared" si="44"/>
        <v>2</v>
      </c>
      <c r="J55" s="146">
        <f t="shared" si="45"/>
        <v>1.1970301012471782</v>
      </c>
      <c r="K55" s="147"/>
      <c r="L55" s="145">
        <f t="shared" si="46"/>
        <v>0</v>
      </c>
      <c r="M55" s="145">
        <f t="shared" si="47"/>
        <v>9</v>
      </c>
      <c r="N55" s="145">
        <f t="shared" si="48"/>
        <v>4.68</v>
      </c>
      <c r="O55" s="145">
        <f t="shared" si="49"/>
        <v>1.867366957945598</v>
      </c>
      <c r="P55" s="145">
        <f t="shared" si="50"/>
        <v>0</v>
      </c>
      <c r="Q55" s="145">
        <f t="shared" si="51"/>
        <v>20.788120404988714</v>
      </c>
      <c r="R55" s="147">
        <f t="shared" si="52"/>
        <v>27.335487362934312</v>
      </c>
      <c r="S55" s="147"/>
      <c r="T55" s="128">
        <f t="shared" si="53"/>
        <v>0</v>
      </c>
      <c r="U55" s="128">
        <f t="shared" si="54"/>
        <v>0</v>
      </c>
      <c r="V55" s="150">
        <f t="shared" si="55"/>
        <v>0.01827879725872079</v>
      </c>
      <c r="W55" s="150">
        <f t="shared" si="56"/>
        <v>0.052984354141676536</v>
      </c>
      <c r="X55" s="150">
        <f t="shared" si="15"/>
        <v>0.07126315140039732</v>
      </c>
    </row>
    <row r="56" spans="1:24" ht="12.75">
      <c r="A56" s="141">
        <v>39</v>
      </c>
      <c r="B56" s="142">
        <v>1.25</v>
      </c>
      <c r="C56" s="143">
        <v>42.65</v>
      </c>
      <c r="D56" s="143">
        <v>4.85</v>
      </c>
      <c r="E56" s="144" t="s">
        <v>88</v>
      </c>
      <c r="F56" s="144">
        <f t="shared" si="0"/>
        <v>4.521193222283541</v>
      </c>
      <c r="G56" s="145">
        <f t="shared" si="1"/>
        <v>3</v>
      </c>
      <c r="H56" s="145">
        <f t="shared" si="17"/>
        <v>2</v>
      </c>
      <c r="I56" s="145">
        <f t="shared" si="44"/>
        <v>2</v>
      </c>
      <c r="J56" s="146">
        <f t="shared" si="45"/>
        <v>2.1868819157400368</v>
      </c>
      <c r="K56" s="147"/>
      <c r="L56" s="145">
        <f t="shared" si="46"/>
        <v>0</v>
      </c>
      <c r="M56" s="145">
        <f t="shared" si="47"/>
        <v>9</v>
      </c>
      <c r="N56" s="145">
        <f t="shared" si="48"/>
        <v>8.549999999999999</v>
      </c>
      <c r="O56" s="145">
        <f t="shared" si="49"/>
        <v>6.232613459859104</v>
      </c>
      <c r="P56" s="145">
        <f t="shared" si="50"/>
        <v>0</v>
      </c>
      <c r="Q56" s="145">
        <f t="shared" si="51"/>
        <v>24.747527662960145</v>
      </c>
      <c r="R56" s="147">
        <f t="shared" si="52"/>
        <v>39.530141122819245</v>
      </c>
      <c r="S56" s="147"/>
      <c r="T56" s="128">
        <f t="shared" si="53"/>
        <v>0</v>
      </c>
      <c r="U56" s="128">
        <f t="shared" si="54"/>
        <v>0</v>
      </c>
      <c r="V56" s="150">
        <f t="shared" si="55"/>
        <v>0.017085797083474158</v>
      </c>
      <c r="W56" s="150">
        <f t="shared" si="56"/>
        <v>0.07541202509129379</v>
      </c>
      <c r="X56" s="150">
        <f t="shared" si="15"/>
        <v>0.09249782217476794</v>
      </c>
    </row>
    <row r="57" spans="1:24" ht="12.75">
      <c r="A57" s="141">
        <v>40</v>
      </c>
      <c r="B57" s="142">
        <v>1.25</v>
      </c>
      <c r="C57" s="143">
        <v>42.65</v>
      </c>
      <c r="D57" s="143">
        <v>4.85</v>
      </c>
      <c r="E57" s="144" t="s">
        <v>82</v>
      </c>
      <c r="F57" s="144">
        <f t="shared" si="0"/>
        <v>4.521193222283541</v>
      </c>
      <c r="G57" s="145">
        <f t="shared" si="1"/>
        <v>3</v>
      </c>
      <c r="H57" s="145">
        <f t="shared" si="17"/>
        <v>2</v>
      </c>
      <c r="I57" s="145">
        <f t="shared" si="44"/>
        <v>2</v>
      </c>
      <c r="J57" s="146">
        <f t="shared" si="45"/>
        <v>2.1868819157400368</v>
      </c>
      <c r="K57" s="147"/>
      <c r="L57" s="145">
        <f t="shared" si="46"/>
        <v>0</v>
      </c>
      <c r="M57" s="145">
        <f t="shared" si="47"/>
        <v>9</v>
      </c>
      <c r="N57" s="145">
        <f t="shared" si="48"/>
        <v>8.549999999999999</v>
      </c>
      <c r="O57" s="145">
        <f t="shared" si="49"/>
        <v>6.232613459859104</v>
      </c>
      <c r="P57" s="145">
        <f t="shared" si="50"/>
        <v>0</v>
      </c>
      <c r="Q57" s="145">
        <f t="shared" si="51"/>
        <v>24.747527662960145</v>
      </c>
      <c r="R57" s="147">
        <f t="shared" si="52"/>
        <v>39.530141122819245</v>
      </c>
      <c r="S57" s="147"/>
      <c r="T57" s="128">
        <f t="shared" si="53"/>
        <v>0</v>
      </c>
      <c r="U57" s="128">
        <f t="shared" si="54"/>
        <v>0</v>
      </c>
      <c r="V57" s="150">
        <f t="shared" si="55"/>
        <v>0.017085797083474158</v>
      </c>
      <c r="W57" s="150">
        <f t="shared" si="56"/>
        <v>0.07541202509129379</v>
      </c>
      <c r="X57" s="150">
        <f t="shared" si="15"/>
        <v>0.09249782217476794</v>
      </c>
    </row>
    <row r="58" spans="1:24" ht="12.75">
      <c r="A58" s="141">
        <v>41</v>
      </c>
      <c r="B58" s="142">
        <v>1.25</v>
      </c>
      <c r="C58" s="143">
        <v>42.65</v>
      </c>
      <c r="D58" s="143">
        <v>4.85</v>
      </c>
      <c r="E58" s="144" t="s">
        <v>89</v>
      </c>
      <c r="F58" s="144">
        <f t="shared" si="0"/>
        <v>4.521193222283541</v>
      </c>
      <c r="G58" s="145">
        <f t="shared" si="1"/>
        <v>3</v>
      </c>
      <c r="H58" s="145">
        <f t="shared" si="17"/>
        <v>2</v>
      </c>
      <c r="I58" s="145">
        <f t="shared" si="44"/>
        <v>2</v>
      </c>
      <c r="J58" s="146">
        <f t="shared" si="45"/>
        <v>2.1868819157400368</v>
      </c>
      <c r="K58" s="147"/>
      <c r="L58" s="145">
        <f t="shared" si="46"/>
        <v>0</v>
      </c>
      <c r="M58" s="145">
        <f t="shared" si="47"/>
        <v>9</v>
      </c>
      <c r="N58" s="145">
        <f t="shared" si="48"/>
        <v>8.549999999999999</v>
      </c>
      <c r="O58" s="145">
        <f t="shared" si="49"/>
        <v>6.232613459859104</v>
      </c>
      <c r="P58" s="145">
        <f t="shared" si="50"/>
        <v>0</v>
      </c>
      <c r="Q58" s="145">
        <f t="shared" si="51"/>
        <v>24.747527662960145</v>
      </c>
      <c r="R58" s="147">
        <f t="shared" si="52"/>
        <v>39.530141122819245</v>
      </c>
      <c r="S58" s="147"/>
      <c r="T58" s="128">
        <f t="shared" si="53"/>
        <v>0</v>
      </c>
      <c r="U58" s="128">
        <f t="shared" si="54"/>
        <v>0</v>
      </c>
      <c r="V58" s="150">
        <f t="shared" si="55"/>
        <v>0.017085797083474158</v>
      </c>
      <c r="W58" s="150">
        <f t="shared" si="56"/>
        <v>0.07541202509129379</v>
      </c>
      <c r="X58" s="150">
        <f t="shared" si="15"/>
        <v>0.09249782217476794</v>
      </c>
    </row>
    <row r="59" spans="1:24" ht="12.75">
      <c r="A59" s="141">
        <v>42</v>
      </c>
      <c r="B59" s="142">
        <v>1.25</v>
      </c>
      <c r="C59" s="143">
        <v>42.65</v>
      </c>
      <c r="D59" s="143">
        <v>6.35</v>
      </c>
      <c r="E59" s="144" t="s">
        <v>90</v>
      </c>
      <c r="F59" s="144">
        <f t="shared" si="0"/>
        <v>5.684599594733364</v>
      </c>
      <c r="G59" s="145">
        <f t="shared" si="1"/>
        <v>3</v>
      </c>
      <c r="H59" s="145">
        <f t="shared" si="17"/>
        <v>2</v>
      </c>
      <c r="I59" s="145">
        <f t="shared" si="44"/>
        <v>2</v>
      </c>
      <c r="J59" s="146">
        <f t="shared" si="45"/>
        <v>3.337872397708477</v>
      </c>
      <c r="K59" s="147"/>
      <c r="L59" s="145">
        <f t="shared" si="46"/>
        <v>0</v>
      </c>
      <c r="M59" s="145">
        <f t="shared" si="47"/>
        <v>9</v>
      </c>
      <c r="N59" s="145">
        <f t="shared" si="48"/>
        <v>13.049999999999999</v>
      </c>
      <c r="O59" s="145">
        <f t="shared" si="49"/>
        <v>14.519744930031875</v>
      </c>
      <c r="P59" s="145">
        <f t="shared" si="50"/>
        <v>0</v>
      </c>
      <c r="Q59" s="145">
        <f t="shared" si="51"/>
        <v>29.351489590833907</v>
      </c>
      <c r="R59" s="147">
        <f t="shared" si="52"/>
        <v>56.92123452086578</v>
      </c>
      <c r="S59" s="147"/>
      <c r="T59" s="128">
        <f t="shared" si="53"/>
        <v>0</v>
      </c>
      <c r="U59" s="128">
        <f t="shared" si="54"/>
        <v>0</v>
      </c>
      <c r="V59" s="150">
        <f t="shared" si="55"/>
        <v>0.015698587577373413</v>
      </c>
      <c r="W59" s="150">
        <f t="shared" si="56"/>
        <v>0.10656452048887405</v>
      </c>
      <c r="X59" s="150">
        <f t="shared" si="15"/>
        <v>0.12226310806624746</v>
      </c>
    </row>
    <row r="60" spans="1:24" ht="12.75">
      <c r="A60" s="141">
        <v>43</v>
      </c>
      <c r="B60" s="142">
        <v>1.25</v>
      </c>
      <c r="C60" s="143">
        <v>42.65</v>
      </c>
      <c r="D60" s="143">
        <v>9.701</v>
      </c>
      <c r="E60" s="144" t="s">
        <v>83</v>
      </c>
      <c r="F60" s="144">
        <f t="shared" si="0"/>
        <v>7.8827594226879345</v>
      </c>
      <c r="G60" s="145">
        <f t="shared" si="1"/>
        <v>3</v>
      </c>
      <c r="H60" s="145">
        <f t="shared" si="17"/>
        <v>2</v>
      </c>
      <c r="I60" s="145">
        <f t="shared" si="44"/>
        <v>2</v>
      </c>
      <c r="J60" s="146">
        <f t="shared" si="45"/>
        <v>5.909185134425974</v>
      </c>
      <c r="K60" s="147"/>
      <c r="L60" s="145">
        <f t="shared" si="46"/>
        <v>0</v>
      </c>
      <c r="M60" s="145">
        <f t="shared" si="47"/>
        <v>9</v>
      </c>
      <c r="N60" s="145">
        <f t="shared" si="48"/>
        <v>23.103</v>
      </c>
      <c r="O60" s="145">
        <f t="shared" si="49"/>
        <v>45.50663472021443</v>
      </c>
      <c r="P60" s="145">
        <f t="shared" si="50"/>
        <v>0</v>
      </c>
      <c r="Q60" s="145">
        <f t="shared" si="51"/>
        <v>39.6367405377039</v>
      </c>
      <c r="R60" s="147">
        <f t="shared" si="52"/>
        <v>108.24637525791833</v>
      </c>
      <c r="S60" s="147"/>
      <c r="T60" s="128">
        <f t="shared" si="53"/>
        <v>0</v>
      </c>
      <c r="U60" s="128">
        <f t="shared" si="54"/>
        <v>0</v>
      </c>
      <c r="V60" s="150">
        <f t="shared" si="55"/>
        <v>0.012599561540744349</v>
      </c>
      <c r="W60" s="150">
        <f t="shared" si="56"/>
        <v>0.1940508741360585</v>
      </c>
      <c r="X60" s="150">
        <f t="shared" si="15"/>
        <v>0.20665043567680286</v>
      </c>
    </row>
    <row r="61" spans="1:24" ht="12.75">
      <c r="A61" s="141">
        <v>44</v>
      </c>
      <c r="B61" s="142"/>
      <c r="C61" s="143"/>
      <c r="D61" s="143"/>
      <c r="E61" s="144"/>
      <c r="F61" s="144">
        <f t="shared" si="0"/>
        <v>0</v>
      </c>
      <c r="G61" s="145"/>
      <c r="H61" s="145"/>
      <c r="I61" s="145"/>
      <c r="J61" s="146"/>
      <c r="K61" s="147"/>
      <c r="L61" s="145"/>
      <c r="M61" s="145"/>
      <c r="N61" s="145"/>
      <c r="O61" s="145"/>
      <c r="P61" s="145"/>
      <c r="Q61" s="145"/>
      <c r="R61" s="147"/>
      <c r="S61" s="147"/>
      <c r="T61" s="128"/>
      <c r="U61" s="128"/>
      <c r="V61" s="150"/>
      <c r="W61" s="150"/>
      <c r="X61" s="150">
        <f t="shared" si="15"/>
        <v>0</v>
      </c>
    </row>
    <row r="62" spans="1:24" ht="12.75">
      <c r="A62" s="141">
        <v>45</v>
      </c>
      <c r="B62" s="142">
        <v>1.5</v>
      </c>
      <c r="C62" s="143">
        <v>48.3</v>
      </c>
      <c r="D62" s="143">
        <v>1.65</v>
      </c>
      <c r="E62" s="144" t="s">
        <v>81</v>
      </c>
      <c r="F62" s="144">
        <f t="shared" si="0"/>
        <v>1.8982574881482566</v>
      </c>
      <c r="G62" s="145">
        <f t="shared" si="1"/>
        <v>3</v>
      </c>
      <c r="H62" s="145">
        <f t="shared" si="17"/>
        <v>1.65</v>
      </c>
      <c r="I62" s="145">
        <f>IF(D62&lt;=19,2,3)</f>
        <v>2</v>
      </c>
      <c r="J62" s="146">
        <f>IF(D62&lt;=19,(D62-H62)*TAN($C$8*PI()/180),(19-H62)*TAN($C$8*PI()/180))</f>
        <v>0</v>
      </c>
      <c r="K62" s="147"/>
      <c r="L62" s="145">
        <f>IF(D62&lt;=19,0,(D62-19)*TAN($C$10*PI()/180))</f>
        <v>0</v>
      </c>
      <c r="M62" s="145">
        <f>+G62*(H62*1.5)</f>
        <v>7.424999999999999</v>
      </c>
      <c r="N62" s="145">
        <f>+G62*(D62-H62)</f>
        <v>0</v>
      </c>
      <c r="O62" s="145">
        <f>IF(D62&lt;=19,(D62-H62)*J62,(19-H62)*J62)</f>
        <v>0</v>
      </c>
      <c r="P62" s="145">
        <f>IF(D62&lt;=19,0,(J62*(D62-19)*2)+((L62)*(D62-19)))</f>
        <v>0</v>
      </c>
      <c r="Q62" s="145">
        <f>+(5+G62+(2*(J62+L62)))*I62</f>
        <v>16</v>
      </c>
      <c r="R62" s="147">
        <f>SUM(N62:Q62)</f>
        <v>16</v>
      </c>
      <c r="S62" s="147"/>
      <c r="T62" s="128">
        <f>IF(D$6=1,(PI()*(C62-(2*D62)+(2*H62))*M62*0.1*0.01*7.85*0.001/(T$16*T$17)),0)</f>
        <v>0</v>
      </c>
      <c r="U62" s="128">
        <f>IF(D$6=1,(PI()*(C62-(0.5*D62))*(R62)*0.1*0.01*7.85*0.001/(U$16*U$17)),0)</f>
        <v>0</v>
      </c>
      <c r="V62" s="150">
        <f>IF(D$6=1,0,(PI()*(C62-(2*D62)+(2*H62))*M62*0.1*0.01*7.85*0.001/(V$16*V$17)))</f>
        <v>0.018425610264783118</v>
      </c>
      <c r="W62" s="150">
        <f>IF(D$6=1,0,(PI()*(C62-(0.5*D62))*(R62)*0.1*0.01*7.85*0.001/(W$16*W$17)))</f>
        <v>0.03602476378920083</v>
      </c>
      <c r="X62" s="150">
        <f t="shared" si="15"/>
        <v>0.05445037405398395</v>
      </c>
    </row>
    <row r="63" spans="1:24" ht="12.75">
      <c r="A63" s="141">
        <v>46</v>
      </c>
      <c r="B63" s="142">
        <v>1.5</v>
      </c>
      <c r="C63" s="143">
        <v>48.3</v>
      </c>
      <c r="D63" s="143">
        <v>2.77</v>
      </c>
      <c r="E63" s="144" t="s">
        <v>84</v>
      </c>
      <c r="F63" s="144">
        <f t="shared" si="0"/>
        <v>3.110261817090917</v>
      </c>
      <c r="G63" s="145">
        <f t="shared" si="1"/>
        <v>3</v>
      </c>
      <c r="H63" s="145">
        <f t="shared" si="17"/>
        <v>2</v>
      </c>
      <c r="I63" s="145">
        <f aca="true" t="shared" si="57" ref="I63:I71">IF(D63&lt;=19,2,3)</f>
        <v>2</v>
      </c>
      <c r="J63" s="146">
        <f aca="true" t="shared" si="58" ref="J63:J71">IF(D63&lt;=19,(D63-H63)*TAN($C$8*PI()/180),(19-H63)*TAN($C$8*PI()/180))</f>
        <v>0.5908417807437994</v>
      </c>
      <c r="K63" s="147"/>
      <c r="L63" s="145">
        <f aca="true" t="shared" si="59" ref="L63:L71">IF(D63&lt;=19,0,(D63-19)*TAN($C$10*PI()/180))</f>
        <v>0</v>
      </c>
      <c r="M63" s="145">
        <f aca="true" t="shared" si="60" ref="M63:M71">+G63*(H63*1.5)</f>
        <v>9</v>
      </c>
      <c r="N63" s="145">
        <f aca="true" t="shared" si="61" ref="N63:N71">+G63*(D63-H63)</f>
        <v>2.31</v>
      </c>
      <c r="O63" s="145">
        <f aca="true" t="shared" si="62" ref="O63:O71">IF(D63&lt;=19,(D63-H63)*J63,(19-H63)*J63)</f>
        <v>0.45494817117272557</v>
      </c>
      <c r="P63" s="145">
        <f aca="true" t="shared" si="63" ref="P63:P71">IF(D63&lt;=19,0,(J63*(D63-19)*2)+((L63)*(D63-19)))</f>
        <v>0</v>
      </c>
      <c r="Q63" s="145">
        <f aca="true" t="shared" si="64" ref="Q63:Q71">+(5+G63+(2*(J63+L63)))*I63</f>
        <v>18.3633671229752</v>
      </c>
      <c r="R63" s="147">
        <f aca="true" t="shared" si="65" ref="R63:R71">SUM(N63:Q63)</f>
        <v>21.128315294147924</v>
      </c>
      <c r="S63" s="147"/>
      <c r="T63" s="128">
        <f aca="true" t="shared" si="66" ref="T63:T71">IF(D$6=1,(PI()*(C63-(2*D63)+(2*H63))*M63*0.1*0.01*7.85*0.001/(T$16*T$17)),0)</f>
        <v>0</v>
      </c>
      <c r="U63" s="128">
        <f aca="true" t="shared" si="67" ref="U63:U71">IF(D$6=1,(PI()*(C63-(0.5*D63))*(R63)*0.1*0.01*7.85*0.001/(U$16*U$17)),0)</f>
        <v>0</v>
      </c>
      <c r="V63" s="150">
        <f aca="true" t="shared" si="68" ref="V63:V71">IF(D$6=1,0,(PI()*(C63-(2*D63)+(2*H63))*M63*0.1*0.01*7.85*0.001/(V$16*V$17)))</f>
        <v>0.02162197216842358</v>
      </c>
      <c r="W63" s="150">
        <f aca="true" t="shared" si="69" ref="W63:W71">IF(D$6=1,0,(PI()*(C63-(0.5*D63))*(R63)*0.1*0.01*7.85*0.001/(W$16*W$17)))</f>
        <v>0.04701027325606647</v>
      </c>
      <c r="X63" s="150">
        <f t="shared" si="15"/>
        <v>0.06863224542449005</v>
      </c>
    </row>
    <row r="64" spans="1:24" ht="12.75">
      <c r="A64" s="141">
        <v>47</v>
      </c>
      <c r="B64" s="142">
        <v>1.5</v>
      </c>
      <c r="C64" s="143">
        <v>48.3</v>
      </c>
      <c r="D64" s="143">
        <v>3.68</v>
      </c>
      <c r="E64" s="144" t="s">
        <v>85</v>
      </c>
      <c r="F64" s="144">
        <f t="shared" si="0"/>
        <v>4.049458141101365</v>
      </c>
      <c r="G64" s="145">
        <f t="shared" si="1"/>
        <v>3</v>
      </c>
      <c r="H64" s="145">
        <f t="shared" si="17"/>
        <v>2</v>
      </c>
      <c r="I64" s="145">
        <f t="shared" si="57"/>
        <v>2</v>
      </c>
      <c r="J64" s="146">
        <f t="shared" si="58"/>
        <v>1.2891093398046536</v>
      </c>
      <c r="K64" s="147"/>
      <c r="L64" s="145">
        <f t="shared" si="59"/>
        <v>0</v>
      </c>
      <c r="M64" s="145">
        <f t="shared" si="60"/>
        <v>9</v>
      </c>
      <c r="N64" s="145">
        <f t="shared" si="61"/>
        <v>5.040000000000001</v>
      </c>
      <c r="O64" s="145">
        <f t="shared" si="62"/>
        <v>2.165703690871818</v>
      </c>
      <c r="P64" s="145">
        <f t="shared" si="63"/>
        <v>0</v>
      </c>
      <c r="Q64" s="145">
        <f t="shared" si="64"/>
        <v>21.156437359218614</v>
      </c>
      <c r="R64" s="147">
        <f t="shared" si="65"/>
        <v>28.362141050090433</v>
      </c>
      <c r="S64" s="147"/>
      <c r="T64" s="128">
        <f t="shared" si="66"/>
        <v>0</v>
      </c>
      <c r="U64" s="128">
        <f t="shared" si="67"/>
        <v>0</v>
      </c>
      <c r="V64" s="150">
        <f t="shared" si="68"/>
        <v>0.020780398401389132</v>
      </c>
      <c r="W64" s="150">
        <f t="shared" si="69"/>
        <v>0.06249343602606703</v>
      </c>
      <c r="X64" s="150">
        <f t="shared" si="15"/>
        <v>0.08327383442745616</v>
      </c>
    </row>
    <row r="65" spans="1:24" ht="12.75">
      <c r="A65" s="141">
        <v>48</v>
      </c>
      <c r="B65" s="142">
        <v>1.5</v>
      </c>
      <c r="C65" s="143">
        <v>48.3</v>
      </c>
      <c r="D65" s="143">
        <v>3.68</v>
      </c>
      <c r="E65" s="144" t="s">
        <v>86</v>
      </c>
      <c r="F65" s="144">
        <f t="shared" si="0"/>
        <v>4.049458141101365</v>
      </c>
      <c r="G65" s="145">
        <f t="shared" si="1"/>
        <v>3</v>
      </c>
      <c r="H65" s="145">
        <f t="shared" si="17"/>
        <v>2</v>
      </c>
      <c r="I65" s="145">
        <f t="shared" si="57"/>
        <v>2</v>
      </c>
      <c r="J65" s="146">
        <f t="shared" si="58"/>
        <v>1.2891093398046536</v>
      </c>
      <c r="K65" s="147"/>
      <c r="L65" s="145">
        <f t="shared" si="59"/>
        <v>0</v>
      </c>
      <c r="M65" s="145">
        <f t="shared" si="60"/>
        <v>9</v>
      </c>
      <c r="N65" s="145">
        <f t="shared" si="61"/>
        <v>5.040000000000001</v>
      </c>
      <c r="O65" s="145">
        <f t="shared" si="62"/>
        <v>2.165703690871818</v>
      </c>
      <c r="P65" s="145">
        <f t="shared" si="63"/>
        <v>0</v>
      </c>
      <c r="Q65" s="145">
        <f t="shared" si="64"/>
        <v>21.156437359218614</v>
      </c>
      <c r="R65" s="147">
        <f t="shared" si="65"/>
        <v>28.362141050090433</v>
      </c>
      <c r="S65" s="147"/>
      <c r="T65" s="128">
        <f t="shared" si="66"/>
        <v>0</v>
      </c>
      <c r="U65" s="128">
        <f t="shared" si="67"/>
        <v>0</v>
      </c>
      <c r="V65" s="150">
        <f t="shared" si="68"/>
        <v>0.020780398401389132</v>
      </c>
      <c r="W65" s="150">
        <f t="shared" si="69"/>
        <v>0.06249343602606703</v>
      </c>
      <c r="X65" s="150">
        <f t="shared" si="15"/>
        <v>0.08327383442745616</v>
      </c>
    </row>
    <row r="66" spans="1:24" ht="12.75">
      <c r="A66" s="141">
        <v>49</v>
      </c>
      <c r="B66" s="142">
        <v>1.5</v>
      </c>
      <c r="C66" s="143">
        <v>48.3</v>
      </c>
      <c r="D66" s="143">
        <v>3.68</v>
      </c>
      <c r="E66" s="144" t="s">
        <v>87</v>
      </c>
      <c r="F66" s="144">
        <f t="shared" si="0"/>
        <v>4.049458141101365</v>
      </c>
      <c r="G66" s="145">
        <f t="shared" si="1"/>
        <v>3</v>
      </c>
      <c r="H66" s="145">
        <f t="shared" si="17"/>
        <v>2</v>
      </c>
      <c r="I66" s="145">
        <f t="shared" si="57"/>
        <v>2</v>
      </c>
      <c r="J66" s="146">
        <f t="shared" si="58"/>
        <v>1.2891093398046536</v>
      </c>
      <c r="K66" s="147"/>
      <c r="L66" s="145">
        <f t="shared" si="59"/>
        <v>0</v>
      </c>
      <c r="M66" s="145">
        <f t="shared" si="60"/>
        <v>9</v>
      </c>
      <c r="N66" s="145">
        <f t="shared" si="61"/>
        <v>5.040000000000001</v>
      </c>
      <c r="O66" s="145">
        <f t="shared" si="62"/>
        <v>2.165703690871818</v>
      </c>
      <c r="P66" s="145">
        <f t="shared" si="63"/>
        <v>0</v>
      </c>
      <c r="Q66" s="145">
        <f t="shared" si="64"/>
        <v>21.156437359218614</v>
      </c>
      <c r="R66" s="147">
        <f t="shared" si="65"/>
        <v>28.362141050090433</v>
      </c>
      <c r="S66" s="147"/>
      <c r="T66" s="128">
        <f t="shared" si="66"/>
        <v>0</v>
      </c>
      <c r="U66" s="128">
        <f t="shared" si="67"/>
        <v>0</v>
      </c>
      <c r="V66" s="150">
        <f t="shared" si="68"/>
        <v>0.020780398401389132</v>
      </c>
      <c r="W66" s="150">
        <f t="shared" si="69"/>
        <v>0.06249343602606703</v>
      </c>
      <c r="X66" s="150">
        <f t="shared" si="15"/>
        <v>0.08327383442745616</v>
      </c>
    </row>
    <row r="67" spans="1:24" ht="12.75">
      <c r="A67" s="141">
        <v>50</v>
      </c>
      <c r="B67" s="142">
        <v>1.5</v>
      </c>
      <c r="C67" s="143">
        <v>48.3</v>
      </c>
      <c r="D67" s="143">
        <v>5.08</v>
      </c>
      <c r="E67" s="144" t="s">
        <v>88</v>
      </c>
      <c r="F67" s="144">
        <f t="shared" si="0"/>
        <v>5.414620264118479</v>
      </c>
      <c r="G67" s="145">
        <f t="shared" si="1"/>
        <v>3</v>
      </c>
      <c r="H67" s="145">
        <f t="shared" si="17"/>
        <v>2</v>
      </c>
      <c r="I67" s="145">
        <f t="shared" si="57"/>
        <v>2</v>
      </c>
      <c r="J67" s="146">
        <f t="shared" si="58"/>
        <v>2.363367122975198</v>
      </c>
      <c r="K67" s="147"/>
      <c r="L67" s="145">
        <f t="shared" si="59"/>
        <v>0</v>
      </c>
      <c r="M67" s="145">
        <f t="shared" si="60"/>
        <v>9</v>
      </c>
      <c r="N67" s="145">
        <f t="shared" si="61"/>
        <v>9.24</v>
      </c>
      <c r="O67" s="145">
        <f t="shared" si="62"/>
        <v>7.279170738763609</v>
      </c>
      <c r="P67" s="145">
        <f t="shared" si="63"/>
        <v>0</v>
      </c>
      <c r="Q67" s="145">
        <f t="shared" si="64"/>
        <v>25.453468491900793</v>
      </c>
      <c r="R67" s="147">
        <f t="shared" si="65"/>
        <v>41.9726392306644</v>
      </c>
      <c r="S67" s="147"/>
      <c r="T67" s="128">
        <f t="shared" si="66"/>
        <v>0</v>
      </c>
      <c r="U67" s="128">
        <f t="shared" si="67"/>
        <v>0</v>
      </c>
      <c r="V67" s="150">
        <f t="shared" si="68"/>
        <v>0.01948566952902844</v>
      </c>
      <c r="W67" s="150">
        <f t="shared" si="69"/>
        <v>0.09108953393863976</v>
      </c>
      <c r="X67" s="150">
        <f t="shared" si="15"/>
        <v>0.1105752034676682</v>
      </c>
    </row>
    <row r="68" spans="1:24" ht="12.75">
      <c r="A68" s="141">
        <v>51</v>
      </c>
      <c r="B68" s="142">
        <v>1.5</v>
      </c>
      <c r="C68" s="143">
        <v>48.3</v>
      </c>
      <c r="D68" s="143">
        <v>5.08</v>
      </c>
      <c r="E68" s="144" t="s">
        <v>82</v>
      </c>
      <c r="F68" s="144">
        <f t="shared" si="0"/>
        <v>5.414620264118479</v>
      </c>
      <c r="G68" s="145">
        <f t="shared" si="1"/>
        <v>3</v>
      </c>
      <c r="H68" s="145">
        <f t="shared" si="17"/>
        <v>2</v>
      </c>
      <c r="I68" s="145">
        <f t="shared" si="57"/>
        <v>2</v>
      </c>
      <c r="J68" s="146">
        <f t="shared" si="58"/>
        <v>2.363367122975198</v>
      </c>
      <c r="K68" s="147"/>
      <c r="L68" s="145">
        <f t="shared" si="59"/>
        <v>0</v>
      </c>
      <c r="M68" s="145">
        <f t="shared" si="60"/>
        <v>9</v>
      </c>
      <c r="N68" s="145">
        <f t="shared" si="61"/>
        <v>9.24</v>
      </c>
      <c r="O68" s="145">
        <f t="shared" si="62"/>
        <v>7.279170738763609</v>
      </c>
      <c r="P68" s="145">
        <f t="shared" si="63"/>
        <v>0</v>
      </c>
      <c r="Q68" s="145">
        <f t="shared" si="64"/>
        <v>25.453468491900793</v>
      </c>
      <c r="R68" s="147">
        <f t="shared" si="65"/>
        <v>41.9726392306644</v>
      </c>
      <c r="S68" s="147"/>
      <c r="T68" s="128">
        <f t="shared" si="66"/>
        <v>0</v>
      </c>
      <c r="U68" s="128">
        <f t="shared" si="67"/>
        <v>0</v>
      </c>
      <c r="V68" s="150">
        <f t="shared" si="68"/>
        <v>0.01948566952902844</v>
      </c>
      <c r="W68" s="150">
        <f t="shared" si="69"/>
        <v>0.09108953393863976</v>
      </c>
      <c r="X68" s="150">
        <f t="shared" si="15"/>
        <v>0.1105752034676682</v>
      </c>
    </row>
    <row r="69" spans="1:24" ht="12.75">
      <c r="A69" s="141">
        <v>52</v>
      </c>
      <c r="B69" s="142">
        <v>1.5</v>
      </c>
      <c r="C69" s="143">
        <v>48.3</v>
      </c>
      <c r="D69" s="143">
        <v>5.08</v>
      </c>
      <c r="E69" s="144" t="s">
        <v>89</v>
      </c>
      <c r="F69" s="144">
        <f t="shared" si="0"/>
        <v>5.414620264118479</v>
      </c>
      <c r="G69" s="145">
        <f t="shared" si="1"/>
        <v>3</v>
      </c>
      <c r="H69" s="145">
        <f t="shared" si="17"/>
        <v>2</v>
      </c>
      <c r="I69" s="145">
        <f t="shared" si="57"/>
        <v>2</v>
      </c>
      <c r="J69" s="146">
        <f t="shared" si="58"/>
        <v>2.363367122975198</v>
      </c>
      <c r="K69" s="147"/>
      <c r="L69" s="145">
        <f t="shared" si="59"/>
        <v>0</v>
      </c>
      <c r="M69" s="145">
        <f t="shared" si="60"/>
        <v>9</v>
      </c>
      <c r="N69" s="145">
        <f t="shared" si="61"/>
        <v>9.24</v>
      </c>
      <c r="O69" s="145">
        <f t="shared" si="62"/>
        <v>7.279170738763609</v>
      </c>
      <c r="P69" s="145">
        <f t="shared" si="63"/>
        <v>0</v>
      </c>
      <c r="Q69" s="145">
        <f t="shared" si="64"/>
        <v>25.453468491900793</v>
      </c>
      <c r="R69" s="147">
        <f t="shared" si="65"/>
        <v>41.9726392306644</v>
      </c>
      <c r="S69" s="147"/>
      <c r="T69" s="128">
        <f t="shared" si="66"/>
        <v>0</v>
      </c>
      <c r="U69" s="128">
        <f t="shared" si="67"/>
        <v>0</v>
      </c>
      <c r="V69" s="150">
        <f t="shared" si="68"/>
        <v>0.01948566952902844</v>
      </c>
      <c r="W69" s="150">
        <f t="shared" si="69"/>
        <v>0.09108953393863976</v>
      </c>
      <c r="X69" s="150">
        <f t="shared" si="15"/>
        <v>0.1105752034676682</v>
      </c>
    </row>
    <row r="70" spans="1:24" ht="12.75">
      <c r="A70" s="141">
        <v>53</v>
      </c>
      <c r="B70" s="142">
        <v>1.5</v>
      </c>
      <c r="C70" s="143">
        <v>48.3</v>
      </c>
      <c r="D70" s="143">
        <v>7.14</v>
      </c>
      <c r="E70" s="144" t="s">
        <v>90</v>
      </c>
      <c r="F70" s="144">
        <f t="shared" si="0"/>
        <v>7.247581492545794</v>
      </c>
      <c r="G70" s="145">
        <f t="shared" si="1"/>
        <v>3</v>
      </c>
      <c r="H70" s="145">
        <f aca="true" t="shared" si="70" ref="H70:H107">IF(D70&lt;2,D70,2)</f>
        <v>2</v>
      </c>
      <c r="I70" s="145">
        <f t="shared" si="57"/>
        <v>2</v>
      </c>
      <c r="J70" s="146">
        <f t="shared" si="58"/>
        <v>3.944060718211856</v>
      </c>
      <c r="K70" s="147"/>
      <c r="L70" s="145">
        <f t="shared" si="59"/>
        <v>0</v>
      </c>
      <c r="M70" s="145">
        <f t="shared" si="60"/>
        <v>9</v>
      </c>
      <c r="N70" s="145">
        <f t="shared" si="61"/>
        <v>15.419999999999998</v>
      </c>
      <c r="O70" s="145">
        <f t="shared" si="62"/>
        <v>20.27247209160894</v>
      </c>
      <c r="P70" s="145">
        <f t="shared" si="63"/>
        <v>0</v>
      </c>
      <c r="Q70" s="145">
        <f t="shared" si="64"/>
        <v>31.776242872847426</v>
      </c>
      <c r="R70" s="147">
        <f t="shared" si="65"/>
        <v>67.46871496445635</v>
      </c>
      <c r="S70" s="147"/>
      <c r="T70" s="128">
        <f t="shared" si="66"/>
        <v>0</v>
      </c>
      <c r="U70" s="128">
        <f t="shared" si="67"/>
        <v>0</v>
      </c>
      <c r="V70" s="150">
        <f t="shared" si="68"/>
        <v>0.017580568473983416</v>
      </c>
      <c r="W70" s="150">
        <f t="shared" si="69"/>
        <v>0.14312566662541037</v>
      </c>
      <c r="X70" s="150">
        <f t="shared" si="15"/>
        <v>0.1607062350993938</v>
      </c>
    </row>
    <row r="71" spans="1:24" ht="12.75">
      <c r="A71" s="141">
        <v>54</v>
      </c>
      <c r="B71" s="142">
        <v>1.5</v>
      </c>
      <c r="C71" s="143">
        <v>48.3</v>
      </c>
      <c r="D71" s="143">
        <v>10.161</v>
      </c>
      <c r="E71" s="144" t="s">
        <v>83</v>
      </c>
      <c r="F71" s="144">
        <f t="shared" si="0"/>
        <v>9.557081344917753</v>
      </c>
      <c r="G71" s="145">
        <f t="shared" si="1"/>
        <v>3</v>
      </c>
      <c r="H71" s="145">
        <f t="shared" si="70"/>
        <v>2</v>
      </c>
      <c r="I71" s="145">
        <f t="shared" si="57"/>
        <v>2</v>
      </c>
      <c r="J71" s="146">
        <f t="shared" si="58"/>
        <v>6.262155548896295</v>
      </c>
      <c r="K71" s="147"/>
      <c r="L71" s="145">
        <f t="shared" si="59"/>
        <v>0</v>
      </c>
      <c r="M71" s="145">
        <f t="shared" si="60"/>
        <v>9</v>
      </c>
      <c r="N71" s="145">
        <f t="shared" si="61"/>
        <v>24.482999999999997</v>
      </c>
      <c r="O71" s="145">
        <f t="shared" si="62"/>
        <v>51.105451434542665</v>
      </c>
      <c r="P71" s="145">
        <f t="shared" si="63"/>
        <v>0</v>
      </c>
      <c r="Q71" s="145">
        <f t="shared" si="64"/>
        <v>41.04862219558518</v>
      </c>
      <c r="R71" s="147">
        <f t="shared" si="65"/>
        <v>116.63707363012784</v>
      </c>
      <c r="S71" s="147"/>
      <c r="T71" s="128">
        <f t="shared" si="66"/>
        <v>0</v>
      </c>
      <c r="U71" s="128">
        <f t="shared" si="67"/>
        <v>0</v>
      </c>
      <c r="V71" s="150">
        <f t="shared" si="68"/>
        <v>0.01478672852869652</v>
      </c>
      <c r="W71" s="150">
        <f t="shared" si="69"/>
        <v>0.23907410518386316</v>
      </c>
      <c r="X71" s="150">
        <f t="shared" si="15"/>
        <v>0.2538608337125597</v>
      </c>
    </row>
    <row r="72" spans="1:24" ht="12.75">
      <c r="A72" s="141">
        <v>55</v>
      </c>
      <c r="B72" s="142"/>
      <c r="C72" s="143"/>
      <c r="D72" s="143"/>
      <c r="E72" s="144"/>
      <c r="F72" s="144">
        <f t="shared" si="0"/>
        <v>0</v>
      </c>
      <c r="G72" s="145"/>
      <c r="H72" s="145"/>
      <c r="I72" s="145"/>
      <c r="J72" s="146"/>
      <c r="K72" s="147"/>
      <c r="L72" s="145"/>
      <c r="M72" s="145"/>
      <c r="N72" s="145"/>
      <c r="O72" s="145"/>
      <c r="P72" s="145"/>
      <c r="Q72" s="145"/>
      <c r="R72" s="147"/>
      <c r="S72" s="147"/>
      <c r="T72" s="128"/>
      <c r="U72" s="128"/>
      <c r="V72" s="150"/>
      <c r="W72" s="150"/>
      <c r="X72" s="150">
        <f t="shared" si="15"/>
        <v>0</v>
      </c>
    </row>
    <row r="73" spans="1:24" ht="12.75">
      <c r="A73" s="141">
        <v>56</v>
      </c>
      <c r="B73" s="142">
        <v>2</v>
      </c>
      <c r="C73" s="143">
        <v>60.3</v>
      </c>
      <c r="D73" s="143">
        <v>1.65</v>
      </c>
      <c r="E73" s="144" t="s">
        <v>81</v>
      </c>
      <c r="F73" s="144">
        <f t="shared" si="0"/>
        <v>2.386555234295718</v>
      </c>
      <c r="G73" s="145">
        <f t="shared" si="1"/>
        <v>3</v>
      </c>
      <c r="H73" s="145">
        <f t="shared" si="70"/>
        <v>1.65</v>
      </c>
      <c r="I73" s="145">
        <f>IF(D73&lt;=19,2,3)</f>
        <v>2</v>
      </c>
      <c r="J73" s="146">
        <f>IF(D73&lt;=19,(D73-H73)*TAN($C$8*PI()/180),(19-H73)*TAN($C$8*PI()/180))</f>
        <v>0</v>
      </c>
      <c r="K73" s="147"/>
      <c r="L73" s="145">
        <f>IF(D73&lt;=19,0,(D73-19)*TAN($C$10*PI()/180))</f>
        <v>0</v>
      </c>
      <c r="M73" s="145">
        <f>+G73*(H73*1.5)</f>
        <v>7.424999999999999</v>
      </c>
      <c r="N73" s="145">
        <f>+G73*(D73-H73)</f>
        <v>0</v>
      </c>
      <c r="O73" s="145">
        <f>IF(D73&lt;=19,(D73-H73)*J73,(19-H73)*J73)</f>
        <v>0</v>
      </c>
      <c r="P73" s="145">
        <f>IF(D73&lt;=19,0,(J73*(D73-19)*2)+((L73)*(D73-19)))</f>
        <v>0</v>
      </c>
      <c r="Q73" s="145">
        <f>+(5+G73+(2*(J73+L73)))*I73</f>
        <v>16</v>
      </c>
      <c r="R73" s="147">
        <f>SUM(N73:Q73)</f>
        <v>16</v>
      </c>
      <c r="S73" s="147"/>
      <c r="T73" s="128">
        <f>IF(D$6=1,(PI()*(C73-(2*D73)+(2*H73))*M73*0.1*0.01*7.85*0.001/(T$16*T$17)),0)</f>
        <v>0</v>
      </c>
      <c r="U73" s="128">
        <f>IF(D$6=1,(PI()*(C73-(0.5*D73))*(R73)*0.1*0.01*7.85*0.001/(U$16*U$17)),0)</f>
        <v>0</v>
      </c>
      <c r="V73" s="150">
        <f>IF(D$6=1,0,(PI()*(C73-(2*D73)+(2*H73))*M73*0.1*0.01*7.85*0.001/(V$16*V$17)))</f>
        <v>0.023003401634915568</v>
      </c>
      <c r="W73" s="150">
        <f>IF(D$6=1,0,(PI()*(C73-(0.5*D73))*(R73)*0.1*0.01*7.85*0.001/(W$16*W$17)))</f>
        <v>0.04513054926514417</v>
      </c>
      <c r="X73" s="150">
        <f t="shared" si="15"/>
        <v>0.06813395090005973</v>
      </c>
    </row>
    <row r="74" spans="1:24" ht="12.75">
      <c r="A74" s="141">
        <v>57</v>
      </c>
      <c r="B74" s="142">
        <v>2</v>
      </c>
      <c r="C74" s="143">
        <v>60.3</v>
      </c>
      <c r="D74" s="143">
        <v>2.77</v>
      </c>
      <c r="E74" s="144" t="s">
        <v>84</v>
      </c>
      <c r="F74" s="144">
        <f t="shared" si="0"/>
        <v>3.930010154562716</v>
      </c>
      <c r="G74" s="145">
        <f t="shared" si="1"/>
        <v>3</v>
      </c>
      <c r="H74" s="145">
        <f t="shared" si="70"/>
        <v>2</v>
      </c>
      <c r="I74" s="145">
        <f aca="true" t="shared" si="71" ref="I74:I82">IF(D74&lt;=19,2,3)</f>
        <v>2</v>
      </c>
      <c r="J74" s="146">
        <f aca="true" t="shared" si="72" ref="J74:J82">IF(D74&lt;=19,(D74-H74)*TAN($C$8*PI()/180),(19-H74)*TAN($C$8*PI()/180))</f>
        <v>0.5908417807437994</v>
      </c>
      <c r="K74" s="147"/>
      <c r="L74" s="145">
        <f aca="true" t="shared" si="73" ref="L74:L82">IF(D74&lt;=19,0,(D74-19)*TAN($C$10*PI()/180))</f>
        <v>0</v>
      </c>
      <c r="M74" s="145">
        <f aca="true" t="shared" si="74" ref="M74:M82">+G74*(H74*1.5)</f>
        <v>9</v>
      </c>
      <c r="N74" s="145">
        <f aca="true" t="shared" si="75" ref="N74:N82">+G74*(D74-H74)</f>
        <v>2.31</v>
      </c>
      <c r="O74" s="145">
        <f aca="true" t="shared" si="76" ref="O74:O82">IF(D74&lt;=19,(D74-H74)*J74,(19-H74)*J74)</f>
        <v>0.45494817117272557</v>
      </c>
      <c r="P74" s="145">
        <f aca="true" t="shared" si="77" ref="P74:P82">IF(D74&lt;=19,0,(J74*(D74-19)*2)+((L74)*(D74-19)))</f>
        <v>0</v>
      </c>
      <c r="Q74" s="145">
        <f aca="true" t="shared" si="78" ref="Q74:Q82">+(5+G74+(2*(J74+L74)))*I74</f>
        <v>18.3633671229752</v>
      </c>
      <c r="R74" s="147">
        <f aca="true" t="shared" si="79" ref="R74:R82">SUM(N74:Q74)</f>
        <v>21.128315294147924</v>
      </c>
      <c r="S74" s="147"/>
      <c r="T74" s="128">
        <f aca="true" t="shared" si="80" ref="T74:T82">IF(D$6=1,(PI()*(C74-(2*D74)+(2*H74))*M74*0.1*0.01*7.85*0.001/(T$16*T$17)),0)</f>
        <v>0</v>
      </c>
      <c r="U74" s="128">
        <f aca="true" t="shared" si="81" ref="U74:U82">IF(D$6=1,(PI()*(C74-(0.5*D74))*(R74)*0.1*0.01*7.85*0.001/(U$16*U$17)),0)</f>
        <v>0</v>
      </c>
      <c r="V74" s="150">
        <f aca="true" t="shared" si="82" ref="V74:V82">IF(D$6=1,0,(PI()*(C74-(2*D74)+(2*H74))*M74*0.1*0.01*7.85*0.001/(V$16*V$17)))</f>
        <v>0.027170810192826553</v>
      </c>
      <c r="W74" s="150">
        <f aca="true" t="shared" si="83" ref="W74:W82">IF(D$6=1,0,(PI()*(C74-(0.5*D74))*(R74)*0.1*0.01*7.85*0.001/(W$16*W$17)))</f>
        <v>0.05903464241460419</v>
      </c>
      <c r="X74" s="150">
        <f t="shared" si="15"/>
        <v>0.08620545260743075</v>
      </c>
    </row>
    <row r="75" spans="1:24" ht="12.75">
      <c r="A75" s="141">
        <v>58</v>
      </c>
      <c r="B75" s="142">
        <v>2</v>
      </c>
      <c r="C75" s="143">
        <v>60.3</v>
      </c>
      <c r="D75" s="143">
        <v>3.91</v>
      </c>
      <c r="E75" s="144" t="s">
        <v>85</v>
      </c>
      <c r="F75" s="144">
        <f t="shared" si="0"/>
        <v>5.437488875229719</v>
      </c>
      <c r="G75" s="145">
        <f t="shared" si="1"/>
        <v>3</v>
      </c>
      <c r="H75" s="145">
        <f t="shared" si="70"/>
        <v>2</v>
      </c>
      <c r="I75" s="145">
        <f t="shared" si="71"/>
        <v>2</v>
      </c>
      <c r="J75" s="146">
        <f t="shared" si="72"/>
        <v>1.4655945470398144</v>
      </c>
      <c r="K75" s="147"/>
      <c r="L75" s="145">
        <f t="shared" si="73"/>
        <v>0</v>
      </c>
      <c r="M75" s="145">
        <f t="shared" si="74"/>
        <v>9</v>
      </c>
      <c r="N75" s="145">
        <f t="shared" si="75"/>
        <v>5.73</v>
      </c>
      <c r="O75" s="145">
        <f t="shared" si="76"/>
        <v>2.7992855848460456</v>
      </c>
      <c r="P75" s="145">
        <f t="shared" si="77"/>
        <v>0</v>
      </c>
      <c r="Q75" s="145">
        <f t="shared" si="78"/>
        <v>21.86237818815926</v>
      </c>
      <c r="R75" s="147">
        <f t="shared" si="79"/>
        <v>30.391663773005305</v>
      </c>
      <c r="S75" s="147"/>
      <c r="T75" s="128">
        <f t="shared" si="80"/>
        <v>0</v>
      </c>
      <c r="U75" s="128">
        <f t="shared" si="81"/>
        <v>0</v>
      </c>
      <c r="V75" s="150">
        <f t="shared" si="82"/>
        <v>0.02611653096818999</v>
      </c>
      <c r="W75" s="150">
        <f t="shared" si="83"/>
        <v>0.08409579991218312</v>
      </c>
      <c r="X75" s="150">
        <f t="shared" si="15"/>
        <v>0.1102123308803731</v>
      </c>
    </row>
    <row r="76" spans="1:24" ht="12.75">
      <c r="A76" s="141">
        <v>59</v>
      </c>
      <c r="B76" s="142">
        <v>2</v>
      </c>
      <c r="C76" s="143">
        <v>60.3</v>
      </c>
      <c r="D76" s="143">
        <v>3.91</v>
      </c>
      <c r="E76" s="144" t="s">
        <v>86</v>
      </c>
      <c r="F76" s="144">
        <f t="shared" si="0"/>
        <v>5.437488875229719</v>
      </c>
      <c r="G76" s="145">
        <f t="shared" si="1"/>
        <v>3</v>
      </c>
      <c r="H76" s="145">
        <f t="shared" si="70"/>
        <v>2</v>
      </c>
      <c r="I76" s="145">
        <f t="shared" si="71"/>
        <v>2</v>
      </c>
      <c r="J76" s="146">
        <f t="shared" si="72"/>
        <v>1.4655945470398144</v>
      </c>
      <c r="K76" s="147"/>
      <c r="L76" s="145">
        <f t="shared" si="73"/>
        <v>0</v>
      </c>
      <c r="M76" s="145">
        <f t="shared" si="74"/>
        <v>9</v>
      </c>
      <c r="N76" s="145">
        <f t="shared" si="75"/>
        <v>5.73</v>
      </c>
      <c r="O76" s="145">
        <f t="shared" si="76"/>
        <v>2.7992855848460456</v>
      </c>
      <c r="P76" s="145">
        <f t="shared" si="77"/>
        <v>0</v>
      </c>
      <c r="Q76" s="145">
        <f t="shared" si="78"/>
        <v>21.86237818815926</v>
      </c>
      <c r="R76" s="147">
        <f t="shared" si="79"/>
        <v>30.391663773005305</v>
      </c>
      <c r="S76" s="147"/>
      <c r="T76" s="128">
        <f t="shared" si="80"/>
        <v>0</v>
      </c>
      <c r="U76" s="128">
        <f t="shared" si="81"/>
        <v>0</v>
      </c>
      <c r="V76" s="150">
        <f t="shared" si="82"/>
        <v>0.02611653096818999</v>
      </c>
      <c r="W76" s="150">
        <f t="shared" si="83"/>
        <v>0.08409579991218312</v>
      </c>
      <c r="X76" s="150">
        <f t="shared" si="15"/>
        <v>0.1102123308803731</v>
      </c>
    </row>
    <row r="77" spans="1:24" ht="12.75">
      <c r="A77" s="141">
        <v>60</v>
      </c>
      <c r="B77" s="142">
        <v>2</v>
      </c>
      <c r="C77" s="143">
        <v>60.3</v>
      </c>
      <c r="D77" s="143">
        <v>3.91</v>
      </c>
      <c r="E77" s="144" t="s">
        <v>87</v>
      </c>
      <c r="F77" s="144">
        <f t="shared" si="0"/>
        <v>5.437488875229719</v>
      </c>
      <c r="G77" s="145">
        <f t="shared" si="1"/>
        <v>3</v>
      </c>
      <c r="H77" s="145">
        <f t="shared" si="70"/>
        <v>2</v>
      </c>
      <c r="I77" s="145">
        <f t="shared" si="71"/>
        <v>2</v>
      </c>
      <c r="J77" s="146">
        <f t="shared" si="72"/>
        <v>1.4655945470398144</v>
      </c>
      <c r="K77" s="147"/>
      <c r="L77" s="145">
        <f t="shared" si="73"/>
        <v>0</v>
      </c>
      <c r="M77" s="145">
        <f t="shared" si="74"/>
        <v>9</v>
      </c>
      <c r="N77" s="145">
        <f t="shared" si="75"/>
        <v>5.73</v>
      </c>
      <c r="O77" s="145">
        <f t="shared" si="76"/>
        <v>2.7992855848460456</v>
      </c>
      <c r="P77" s="145">
        <f t="shared" si="77"/>
        <v>0</v>
      </c>
      <c r="Q77" s="145">
        <f t="shared" si="78"/>
        <v>21.86237818815926</v>
      </c>
      <c r="R77" s="147">
        <f t="shared" si="79"/>
        <v>30.391663773005305</v>
      </c>
      <c r="S77" s="147"/>
      <c r="T77" s="128">
        <f t="shared" si="80"/>
        <v>0</v>
      </c>
      <c r="U77" s="128">
        <f t="shared" si="81"/>
        <v>0</v>
      </c>
      <c r="V77" s="150">
        <f t="shared" si="82"/>
        <v>0.02611653096818999</v>
      </c>
      <c r="W77" s="150">
        <f t="shared" si="83"/>
        <v>0.08409579991218312</v>
      </c>
      <c r="X77" s="150">
        <f t="shared" si="15"/>
        <v>0.1102123308803731</v>
      </c>
    </row>
    <row r="78" spans="1:24" ht="12.75">
      <c r="A78" s="141">
        <v>61</v>
      </c>
      <c r="B78" s="142">
        <v>2</v>
      </c>
      <c r="C78" s="143">
        <v>60.3</v>
      </c>
      <c r="D78" s="143">
        <v>5.54</v>
      </c>
      <c r="E78" s="144" t="s">
        <v>88</v>
      </c>
      <c r="F78" s="144">
        <f t="shared" si="0"/>
        <v>7.481569826659286</v>
      </c>
      <c r="G78" s="145">
        <f t="shared" si="1"/>
        <v>3</v>
      </c>
      <c r="H78" s="145">
        <f t="shared" si="70"/>
        <v>2</v>
      </c>
      <c r="I78" s="145">
        <f t="shared" si="71"/>
        <v>2</v>
      </c>
      <c r="J78" s="146">
        <f t="shared" si="72"/>
        <v>2.71633753744552</v>
      </c>
      <c r="K78" s="147"/>
      <c r="L78" s="145">
        <f t="shared" si="73"/>
        <v>0</v>
      </c>
      <c r="M78" s="145">
        <f t="shared" si="74"/>
        <v>9</v>
      </c>
      <c r="N78" s="145">
        <f t="shared" si="75"/>
        <v>10.620000000000001</v>
      </c>
      <c r="O78" s="145">
        <f t="shared" si="76"/>
        <v>9.61583488255714</v>
      </c>
      <c r="P78" s="145">
        <f t="shared" si="77"/>
        <v>0</v>
      </c>
      <c r="Q78" s="145">
        <f t="shared" si="78"/>
        <v>26.86535014978208</v>
      </c>
      <c r="R78" s="147">
        <f t="shared" si="79"/>
        <v>47.101185032339224</v>
      </c>
      <c r="S78" s="147"/>
      <c r="T78" s="128">
        <f t="shared" si="80"/>
        <v>0</v>
      </c>
      <c r="U78" s="128">
        <f t="shared" si="81"/>
        <v>0</v>
      </c>
      <c r="V78" s="150">
        <f t="shared" si="82"/>
        <v>0.024609096638227183</v>
      </c>
      <c r="W78" s="150">
        <f t="shared" si="83"/>
        <v>0.1285116186260973</v>
      </c>
      <c r="X78" s="150">
        <f t="shared" si="15"/>
        <v>0.1531207152643245</v>
      </c>
    </row>
    <row r="79" spans="1:24" ht="12.75">
      <c r="A79" s="141">
        <v>62</v>
      </c>
      <c r="B79" s="142">
        <v>2</v>
      </c>
      <c r="C79" s="143">
        <v>60.3</v>
      </c>
      <c r="D79" s="143">
        <v>5.54</v>
      </c>
      <c r="E79" s="144" t="s">
        <v>82</v>
      </c>
      <c r="F79" s="144">
        <f t="shared" si="0"/>
        <v>7.481569826659286</v>
      </c>
      <c r="G79" s="145">
        <f t="shared" si="1"/>
        <v>3</v>
      </c>
      <c r="H79" s="145">
        <f t="shared" si="70"/>
        <v>2</v>
      </c>
      <c r="I79" s="145">
        <f t="shared" si="71"/>
        <v>2</v>
      </c>
      <c r="J79" s="146">
        <f t="shared" si="72"/>
        <v>2.71633753744552</v>
      </c>
      <c r="K79" s="147"/>
      <c r="L79" s="145">
        <f t="shared" si="73"/>
        <v>0</v>
      </c>
      <c r="M79" s="145">
        <f t="shared" si="74"/>
        <v>9</v>
      </c>
      <c r="N79" s="145">
        <f t="shared" si="75"/>
        <v>10.620000000000001</v>
      </c>
      <c r="O79" s="145">
        <f t="shared" si="76"/>
        <v>9.61583488255714</v>
      </c>
      <c r="P79" s="145">
        <f t="shared" si="77"/>
        <v>0</v>
      </c>
      <c r="Q79" s="145">
        <f t="shared" si="78"/>
        <v>26.86535014978208</v>
      </c>
      <c r="R79" s="147">
        <f t="shared" si="79"/>
        <v>47.101185032339224</v>
      </c>
      <c r="S79" s="147"/>
      <c r="T79" s="128">
        <f t="shared" si="80"/>
        <v>0</v>
      </c>
      <c r="U79" s="128">
        <f t="shared" si="81"/>
        <v>0</v>
      </c>
      <c r="V79" s="150">
        <f t="shared" si="82"/>
        <v>0.024609096638227183</v>
      </c>
      <c r="W79" s="150">
        <f t="shared" si="83"/>
        <v>0.1285116186260973</v>
      </c>
      <c r="X79" s="150">
        <f t="shared" si="15"/>
        <v>0.1531207152643245</v>
      </c>
    </row>
    <row r="80" spans="1:24" ht="12.75">
      <c r="A80" s="141">
        <v>63</v>
      </c>
      <c r="B80" s="142">
        <v>2</v>
      </c>
      <c r="C80" s="143">
        <v>60.3</v>
      </c>
      <c r="D80" s="143">
        <v>5.54</v>
      </c>
      <c r="E80" s="144" t="s">
        <v>89</v>
      </c>
      <c r="F80" s="144">
        <f t="shared" si="0"/>
        <v>7.481569826659286</v>
      </c>
      <c r="G80" s="145">
        <f t="shared" si="1"/>
        <v>3</v>
      </c>
      <c r="H80" s="145">
        <f t="shared" si="70"/>
        <v>2</v>
      </c>
      <c r="I80" s="145">
        <f t="shared" si="71"/>
        <v>2</v>
      </c>
      <c r="J80" s="146">
        <f t="shared" si="72"/>
        <v>2.71633753744552</v>
      </c>
      <c r="K80" s="147"/>
      <c r="L80" s="145">
        <f t="shared" si="73"/>
        <v>0</v>
      </c>
      <c r="M80" s="145">
        <f t="shared" si="74"/>
        <v>9</v>
      </c>
      <c r="N80" s="145">
        <f t="shared" si="75"/>
        <v>10.620000000000001</v>
      </c>
      <c r="O80" s="145">
        <f t="shared" si="76"/>
        <v>9.61583488255714</v>
      </c>
      <c r="P80" s="145">
        <f t="shared" si="77"/>
        <v>0</v>
      </c>
      <c r="Q80" s="145">
        <f t="shared" si="78"/>
        <v>26.86535014978208</v>
      </c>
      <c r="R80" s="147">
        <f t="shared" si="79"/>
        <v>47.101185032339224</v>
      </c>
      <c r="S80" s="147"/>
      <c r="T80" s="128">
        <f t="shared" si="80"/>
        <v>0</v>
      </c>
      <c r="U80" s="128">
        <f t="shared" si="81"/>
        <v>0</v>
      </c>
      <c r="V80" s="150">
        <f t="shared" si="82"/>
        <v>0.024609096638227183</v>
      </c>
      <c r="W80" s="150">
        <f t="shared" si="83"/>
        <v>0.1285116186260973</v>
      </c>
      <c r="X80" s="150">
        <f t="shared" si="15"/>
        <v>0.1531207152643245</v>
      </c>
    </row>
    <row r="81" spans="1:24" ht="12.75">
      <c r="A81" s="141">
        <v>64</v>
      </c>
      <c r="B81" s="142">
        <v>2</v>
      </c>
      <c r="C81" s="143">
        <v>60.3</v>
      </c>
      <c r="D81" s="143">
        <v>8.74</v>
      </c>
      <c r="E81" s="144" t="s">
        <v>90</v>
      </c>
      <c r="F81" s="144">
        <f t="shared" si="0"/>
        <v>11.113321305884526</v>
      </c>
      <c r="G81" s="145">
        <f t="shared" si="1"/>
        <v>3</v>
      </c>
      <c r="H81" s="145">
        <f t="shared" si="70"/>
        <v>2</v>
      </c>
      <c r="I81" s="145">
        <f t="shared" si="71"/>
        <v>2</v>
      </c>
      <c r="J81" s="146">
        <f t="shared" si="72"/>
        <v>5.171783898978193</v>
      </c>
      <c r="K81" s="147"/>
      <c r="L81" s="145">
        <f t="shared" si="73"/>
        <v>0</v>
      </c>
      <c r="M81" s="145">
        <f t="shared" si="74"/>
        <v>9</v>
      </c>
      <c r="N81" s="145">
        <f t="shared" si="75"/>
        <v>20.22</v>
      </c>
      <c r="O81" s="145">
        <f t="shared" si="76"/>
        <v>34.85782347911302</v>
      </c>
      <c r="P81" s="145">
        <f t="shared" si="77"/>
        <v>0</v>
      </c>
      <c r="Q81" s="145">
        <f t="shared" si="78"/>
        <v>36.68713559591277</v>
      </c>
      <c r="R81" s="147">
        <f t="shared" si="79"/>
        <v>91.76495907502579</v>
      </c>
      <c r="S81" s="147"/>
      <c r="T81" s="128">
        <f t="shared" si="80"/>
        <v>0</v>
      </c>
      <c r="U81" s="128">
        <f t="shared" si="81"/>
        <v>0</v>
      </c>
      <c r="V81" s="150">
        <f t="shared" si="82"/>
        <v>0.021649716358545595</v>
      </c>
      <c r="W81" s="150">
        <f t="shared" si="83"/>
        <v>0.24340969960605444</v>
      </c>
      <c r="X81" s="150">
        <f t="shared" si="15"/>
        <v>0.26505941596460003</v>
      </c>
    </row>
    <row r="82" spans="1:24" ht="12.75">
      <c r="A82" s="141">
        <v>65</v>
      </c>
      <c r="B82" s="142">
        <v>2</v>
      </c>
      <c r="C82" s="143">
        <v>60.3</v>
      </c>
      <c r="D82" s="143">
        <v>11.071</v>
      </c>
      <c r="E82" s="144" t="s">
        <v>83</v>
      </c>
      <c r="F82" s="144">
        <f t="shared" si="0"/>
        <v>13.440870418582264</v>
      </c>
      <c r="G82" s="145">
        <f t="shared" si="1"/>
        <v>3</v>
      </c>
      <c r="H82" s="145">
        <f t="shared" si="70"/>
        <v>2</v>
      </c>
      <c r="I82" s="145">
        <f t="shared" si="71"/>
        <v>2</v>
      </c>
      <c r="J82" s="146">
        <f t="shared" si="72"/>
        <v>6.9604231079571495</v>
      </c>
      <c r="K82" s="147"/>
      <c r="L82" s="145">
        <f t="shared" si="73"/>
        <v>0</v>
      </c>
      <c r="M82" s="145">
        <f t="shared" si="74"/>
        <v>9</v>
      </c>
      <c r="N82" s="145">
        <f t="shared" si="75"/>
        <v>27.213</v>
      </c>
      <c r="O82" s="145">
        <f t="shared" si="76"/>
        <v>63.137998012279304</v>
      </c>
      <c r="P82" s="145">
        <f t="shared" si="77"/>
        <v>0</v>
      </c>
      <c r="Q82" s="145">
        <f t="shared" si="78"/>
        <v>43.8416924318286</v>
      </c>
      <c r="R82" s="147">
        <f t="shared" si="79"/>
        <v>134.1926904441079</v>
      </c>
      <c r="S82" s="147"/>
      <c r="T82" s="128">
        <f t="shared" si="80"/>
        <v>0</v>
      </c>
      <c r="U82" s="128">
        <f t="shared" si="81"/>
        <v>0</v>
      </c>
      <c r="V82" s="150">
        <f t="shared" si="82"/>
        <v>0.01949399278606504</v>
      </c>
      <c r="W82" s="150">
        <f t="shared" si="83"/>
        <v>0.3485332154127454</v>
      </c>
      <c r="X82" s="150">
        <f t="shared" si="15"/>
        <v>0.36802720819881046</v>
      </c>
    </row>
    <row r="83" spans="1:24" ht="12.75">
      <c r="A83" s="141">
        <v>66</v>
      </c>
      <c r="B83" s="142"/>
      <c r="C83" s="143"/>
      <c r="D83" s="143"/>
      <c r="E83" s="144"/>
      <c r="F83" s="144">
        <f aca="true" t="shared" si="84" ref="F83:F146">+PI()*D83*(C83-D83)*0.00785</f>
        <v>0</v>
      </c>
      <c r="G83" s="145"/>
      <c r="H83" s="145">
        <f t="shared" si="70"/>
        <v>0</v>
      </c>
      <c r="I83" s="145"/>
      <c r="J83" s="146"/>
      <c r="K83" s="147"/>
      <c r="L83" s="145"/>
      <c r="M83" s="145"/>
      <c r="N83" s="145"/>
      <c r="O83" s="145"/>
      <c r="P83" s="145"/>
      <c r="Q83" s="145"/>
      <c r="R83" s="147"/>
      <c r="S83" s="147"/>
      <c r="T83" s="128"/>
      <c r="U83" s="128"/>
      <c r="V83" s="150"/>
      <c r="W83" s="150"/>
      <c r="X83" s="150">
        <f aca="true" t="shared" si="85" ref="X83:X146">SUM(V83:W83)</f>
        <v>0</v>
      </c>
    </row>
    <row r="84" spans="1:24" ht="12.75">
      <c r="A84" s="141">
        <v>67</v>
      </c>
      <c r="B84" s="142">
        <v>2.5</v>
      </c>
      <c r="C84" s="143">
        <v>73</v>
      </c>
      <c r="D84" s="143">
        <v>2.11</v>
      </c>
      <c r="E84" s="144" t="s">
        <v>81</v>
      </c>
      <c r="F84" s="144">
        <f t="shared" si="84"/>
        <v>3.688815729468201</v>
      </c>
      <c r="G84" s="145">
        <f t="shared" si="1"/>
        <v>3</v>
      </c>
      <c r="H84" s="145">
        <f t="shared" si="70"/>
        <v>2</v>
      </c>
      <c r="I84" s="145">
        <f>IF(D84&lt;=19,2,3)</f>
        <v>2</v>
      </c>
      <c r="J84" s="146">
        <f>IF(D84&lt;=19,(D84-H84)*TAN($C$8*PI()/180),(19-H84)*TAN($C$8*PI()/180))</f>
        <v>0.08440596867768554</v>
      </c>
      <c r="K84" s="147"/>
      <c r="L84" s="145">
        <f>IF(D84&lt;=19,0,(D84-19)*TAN($C$10*PI()/180))</f>
        <v>0</v>
      </c>
      <c r="M84" s="145">
        <f>+G84*(H84*1.5)</f>
        <v>9</v>
      </c>
      <c r="N84" s="145">
        <f>+G84*(D84-H84)</f>
        <v>0.3299999999999996</v>
      </c>
      <c r="O84" s="145">
        <f>IF(D84&lt;=19,(D84-H84)*J84,(19-H84)*J84)</f>
        <v>0.0092846565545454</v>
      </c>
      <c r="P84" s="145">
        <f>IF(D84&lt;=19,0,(J84*(D84-19)*2)+((L84)*(D84-19)))</f>
        <v>0</v>
      </c>
      <c r="Q84" s="145">
        <f>+(5+G84+(2*(J84+L84)))*I84</f>
        <v>16.337623874710744</v>
      </c>
      <c r="R84" s="147">
        <f>SUM(N84:Q84)</f>
        <v>16.676908531265287</v>
      </c>
      <c r="S84" s="147"/>
      <c r="T84" s="128">
        <f>IF(D$6=1,(PI()*(C84-(2*D84)+(2*H84))*M84*0.1*0.01*7.85*0.001/(T$16*T$17)),0)</f>
        <v>0</v>
      </c>
      <c r="U84" s="128">
        <f>IF(D$6=1,(PI()*(C84-(0.5*D84))*(R84)*0.1*0.01*7.85*0.001/(U$16*U$17)),0)</f>
        <v>0</v>
      </c>
      <c r="V84" s="150">
        <f>IF(D$6=1,0,(PI()*(C84-(2*D84)+(2*H84))*M84*0.1*0.01*7.85*0.001/(V$16*V$17)))</f>
        <v>0.03365370261800403</v>
      </c>
      <c r="W84" s="150">
        <f>IF(D$6=1,0,(PI()*(C84-(0.5*D84))*(R84)*0.1*0.01*7.85*0.001/(W$16*W$17)))</f>
        <v>0.0569026312905084</v>
      </c>
      <c r="X84" s="150">
        <f t="shared" si="85"/>
        <v>0.09055633390851242</v>
      </c>
    </row>
    <row r="85" spans="1:24" ht="12.75">
      <c r="A85" s="141">
        <v>68</v>
      </c>
      <c r="B85" s="142">
        <v>2.5</v>
      </c>
      <c r="C85" s="143">
        <v>73</v>
      </c>
      <c r="D85" s="143">
        <v>3.05</v>
      </c>
      <c r="E85" s="144" t="s">
        <v>84</v>
      </c>
      <c r="F85" s="144">
        <f t="shared" si="84"/>
        <v>5.261469868494724</v>
      </c>
      <c r="G85" s="145">
        <f t="shared" si="1"/>
        <v>3</v>
      </c>
      <c r="H85" s="145">
        <f t="shared" si="70"/>
        <v>2</v>
      </c>
      <c r="I85" s="145">
        <f aca="true" t="shared" si="86" ref="I85:I93">IF(D85&lt;=19,2,3)</f>
        <v>2</v>
      </c>
      <c r="J85" s="146">
        <f aca="true" t="shared" si="87" ref="J85:J93">IF(D85&lt;=19,(D85-H85)*TAN($C$8*PI()/180),(19-H85)*TAN($C$8*PI()/180))</f>
        <v>0.8056933373779083</v>
      </c>
      <c r="K85" s="147"/>
      <c r="L85" s="145">
        <f aca="true" t="shared" si="88" ref="L85:L93">IF(D85&lt;=19,0,(D85-19)*TAN($C$10*PI()/180))</f>
        <v>0</v>
      </c>
      <c r="M85" s="145">
        <f aca="true" t="shared" si="89" ref="M85:M93">+G85*(H85*1.5)</f>
        <v>9</v>
      </c>
      <c r="N85" s="145">
        <f aca="true" t="shared" si="90" ref="N85:N93">+G85*(D85-H85)</f>
        <v>3.1499999999999995</v>
      </c>
      <c r="O85" s="145">
        <f aca="true" t="shared" si="91" ref="O85:O93">IF(D85&lt;=19,(D85-H85)*J85,(19-H85)*J85)</f>
        <v>0.8459780042468036</v>
      </c>
      <c r="P85" s="145">
        <f aca="true" t="shared" si="92" ref="P85:P93">IF(D85&lt;=19,0,(J85*(D85-19)*2)+((L85)*(D85-19)))</f>
        <v>0</v>
      </c>
      <c r="Q85" s="145">
        <f aca="true" t="shared" si="93" ref="Q85:Q93">+(5+G85+(2*(J85+L85)))*I85</f>
        <v>19.222773349511634</v>
      </c>
      <c r="R85" s="147">
        <f aca="true" t="shared" si="94" ref="R85:R93">SUM(N85:Q85)</f>
        <v>23.218751353758435</v>
      </c>
      <c r="S85" s="147"/>
      <c r="T85" s="128">
        <f aca="true" t="shared" si="95" ref="T85:T93">IF(D$6=1,(PI()*(C85-(2*D85)+(2*H85))*M85*0.1*0.01*7.85*0.001/(T$16*T$17)),0)</f>
        <v>0</v>
      </c>
      <c r="U85" s="128">
        <f aca="true" t="shared" si="96" ref="U85:U93">IF(D$6=1,(PI()*(C85-(0.5*D85))*(R85)*0.1*0.01*7.85*0.001/(U$16*U$17)),0)</f>
        <v>0</v>
      </c>
      <c r="V85" s="150">
        <f aca="true" t="shared" si="97" ref="V85:V93">IF(D$6=1,0,(PI()*(C85-(2*D85)+(2*H85))*M85*0.1*0.01*7.85*0.001/(V$16*V$17)))</f>
        <v>0.03278438466084757</v>
      </c>
      <c r="W85" s="150">
        <f aca="true" t="shared" si="98" ref="W85:W93">IF(D$6=1,0,(PI()*(C85-(0.5*D85))*(R85)*0.1*0.01*7.85*0.001/(W$16*W$17)))</f>
        <v>0.07870624816828257</v>
      </c>
      <c r="X85" s="150">
        <f t="shared" si="85"/>
        <v>0.11149063282913015</v>
      </c>
    </row>
    <row r="86" spans="1:24" ht="12.75">
      <c r="A86" s="141">
        <v>69</v>
      </c>
      <c r="B86" s="142">
        <v>2.5</v>
      </c>
      <c r="C86" s="143">
        <v>73</v>
      </c>
      <c r="D86" s="143">
        <v>5.16</v>
      </c>
      <c r="E86" s="144" t="s">
        <v>85</v>
      </c>
      <c r="F86" s="144">
        <f t="shared" si="84"/>
        <v>8.632867401464745</v>
      </c>
      <c r="G86" s="145">
        <f t="shared" si="1"/>
        <v>3</v>
      </c>
      <c r="H86" s="145">
        <f t="shared" si="70"/>
        <v>2</v>
      </c>
      <c r="I86" s="145">
        <f t="shared" si="86"/>
        <v>2</v>
      </c>
      <c r="J86" s="146">
        <f t="shared" si="87"/>
        <v>2.4247532820135147</v>
      </c>
      <c r="K86" s="147"/>
      <c r="L86" s="145">
        <f t="shared" si="88"/>
        <v>0</v>
      </c>
      <c r="M86" s="145">
        <f t="shared" si="89"/>
        <v>9</v>
      </c>
      <c r="N86" s="145">
        <f t="shared" si="90"/>
        <v>9.48</v>
      </c>
      <c r="O86" s="145">
        <f t="shared" si="91"/>
        <v>7.662220371162706</v>
      </c>
      <c r="P86" s="145">
        <f t="shared" si="92"/>
        <v>0</v>
      </c>
      <c r="Q86" s="145">
        <f t="shared" si="93"/>
        <v>25.69901312805406</v>
      </c>
      <c r="R86" s="147">
        <f t="shared" si="94"/>
        <v>42.84123349921677</v>
      </c>
      <c r="S86" s="147"/>
      <c r="T86" s="128">
        <f t="shared" si="95"/>
        <v>0</v>
      </c>
      <c r="U86" s="128">
        <f t="shared" si="96"/>
        <v>0</v>
      </c>
      <c r="V86" s="150">
        <f t="shared" si="97"/>
        <v>0.03083304328893252</v>
      </c>
      <c r="W86" s="150">
        <f t="shared" si="98"/>
        <v>0.14307843238619483</v>
      </c>
      <c r="X86" s="150">
        <f t="shared" si="85"/>
        <v>0.17391147567512735</v>
      </c>
    </row>
    <row r="87" spans="1:24" ht="12.75">
      <c r="A87" s="141">
        <v>70</v>
      </c>
      <c r="B87" s="142">
        <v>2.5</v>
      </c>
      <c r="C87" s="143">
        <v>73</v>
      </c>
      <c r="D87" s="143">
        <v>5.16</v>
      </c>
      <c r="E87" s="144" t="s">
        <v>86</v>
      </c>
      <c r="F87" s="144">
        <f t="shared" si="84"/>
        <v>8.632867401464745</v>
      </c>
      <c r="G87" s="145">
        <f t="shared" si="1"/>
        <v>3</v>
      </c>
      <c r="H87" s="145">
        <f t="shared" si="70"/>
        <v>2</v>
      </c>
      <c r="I87" s="145">
        <f t="shared" si="86"/>
        <v>2</v>
      </c>
      <c r="J87" s="146">
        <f t="shared" si="87"/>
        <v>2.4247532820135147</v>
      </c>
      <c r="K87" s="147"/>
      <c r="L87" s="145">
        <f t="shared" si="88"/>
        <v>0</v>
      </c>
      <c r="M87" s="145">
        <f t="shared" si="89"/>
        <v>9</v>
      </c>
      <c r="N87" s="145">
        <f t="shared" si="90"/>
        <v>9.48</v>
      </c>
      <c r="O87" s="145">
        <f t="shared" si="91"/>
        <v>7.662220371162706</v>
      </c>
      <c r="P87" s="145">
        <f t="shared" si="92"/>
        <v>0</v>
      </c>
      <c r="Q87" s="145">
        <f t="shared" si="93"/>
        <v>25.69901312805406</v>
      </c>
      <c r="R87" s="147">
        <f t="shared" si="94"/>
        <v>42.84123349921677</v>
      </c>
      <c r="S87" s="147"/>
      <c r="T87" s="128">
        <f t="shared" si="95"/>
        <v>0</v>
      </c>
      <c r="U87" s="128">
        <f t="shared" si="96"/>
        <v>0</v>
      </c>
      <c r="V87" s="150">
        <f t="shared" si="97"/>
        <v>0.03083304328893252</v>
      </c>
      <c r="W87" s="150">
        <f t="shared" si="98"/>
        <v>0.14307843238619483</v>
      </c>
      <c r="X87" s="150">
        <f t="shared" si="85"/>
        <v>0.17391147567512735</v>
      </c>
    </row>
    <row r="88" spans="1:24" ht="12.75">
      <c r="A88" s="141">
        <v>71</v>
      </c>
      <c r="B88" s="142">
        <v>2.5</v>
      </c>
      <c r="C88" s="143">
        <v>73</v>
      </c>
      <c r="D88" s="143">
        <v>5.16</v>
      </c>
      <c r="E88" s="144" t="s">
        <v>87</v>
      </c>
      <c r="F88" s="144">
        <f t="shared" si="84"/>
        <v>8.632867401464745</v>
      </c>
      <c r="G88" s="145">
        <f t="shared" si="1"/>
        <v>3</v>
      </c>
      <c r="H88" s="145">
        <f t="shared" si="70"/>
        <v>2</v>
      </c>
      <c r="I88" s="145">
        <f t="shared" si="86"/>
        <v>2</v>
      </c>
      <c r="J88" s="146">
        <f t="shared" si="87"/>
        <v>2.4247532820135147</v>
      </c>
      <c r="K88" s="147"/>
      <c r="L88" s="145">
        <f t="shared" si="88"/>
        <v>0</v>
      </c>
      <c r="M88" s="145">
        <f t="shared" si="89"/>
        <v>9</v>
      </c>
      <c r="N88" s="145">
        <f t="shared" si="90"/>
        <v>9.48</v>
      </c>
      <c r="O88" s="145">
        <f t="shared" si="91"/>
        <v>7.662220371162706</v>
      </c>
      <c r="P88" s="145">
        <f t="shared" si="92"/>
        <v>0</v>
      </c>
      <c r="Q88" s="145">
        <f t="shared" si="93"/>
        <v>25.69901312805406</v>
      </c>
      <c r="R88" s="147">
        <f t="shared" si="94"/>
        <v>42.84123349921677</v>
      </c>
      <c r="S88" s="147"/>
      <c r="T88" s="128">
        <f t="shared" si="95"/>
        <v>0</v>
      </c>
      <c r="U88" s="128">
        <f t="shared" si="96"/>
        <v>0</v>
      </c>
      <c r="V88" s="150">
        <f t="shared" si="97"/>
        <v>0.03083304328893252</v>
      </c>
      <c r="W88" s="150">
        <f t="shared" si="98"/>
        <v>0.14307843238619483</v>
      </c>
      <c r="X88" s="150">
        <f t="shared" si="85"/>
        <v>0.17391147567512735</v>
      </c>
    </row>
    <row r="89" spans="1:24" ht="12.75">
      <c r="A89" s="141">
        <v>72</v>
      </c>
      <c r="B89" s="142">
        <v>2.5</v>
      </c>
      <c r="C89" s="143">
        <v>73</v>
      </c>
      <c r="D89" s="143">
        <v>7.01</v>
      </c>
      <c r="E89" s="144" t="s">
        <v>88</v>
      </c>
      <c r="F89" s="144">
        <f t="shared" si="84"/>
        <v>11.408161896998969</v>
      </c>
      <c r="G89" s="145">
        <f t="shared" si="1"/>
        <v>3</v>
      </c>
      <c r="H89" s="145">
        <f t="shared" si="70"/>
        <v>2</v>
      </c>
      <c r="I89" s="145">
        <f t="shared" si="86"/>
        <v>2</v>
      </c>
      <c r="J89" s="146">
        <f t="shared" si="87"/>
        <v>3.8443082097745913</v>
      </c>
      <c r="K89" s="147"/>
      <c r="L89" s="145">
        <f t="shared" si="88"/>
        <v>0</v>
      </c>
      <c r="M89" s="145">
        <f t="shared" si="89"/>
        <v>9</v>
      </c>
      <c r="N89" s="145">
        <f t="shared" si="90"/>
        <v>15.03</v>
      </c>
      <c r="O89" s="145">
        <f t="shared" si="91"/>
        <v>19.2599841309707</v>
      </c>
      <c r="P89" s="145">
        <f t="shared" si="92"/>
        <v>0</v>
      </c>
      <c r="Q89" s="145">
        <f t="shared" si="93"/>
        <v>31.377232839098365</v>
      </c>
      <c r="R89" s="147">
        <f t="shared" si="94"/>
        <v>65.66721697006906</v>
      </c>
      <c r="S89" s="147"/>
      <c r="T89" s="128">
        <f t="shared" si="95"/>
        <v>0</v>
      </c>
      <c r="U89" s="128">
        <f t="shared" si="96"/>
        <v>0</v>
      </c>
      <c r="V89" s="150">
        <f t="shared" si="97"/>
        <v>0.029122151564741603</v>
      </c>
      <c r="W89" s="150">
        <f t="shared" si="98"/>
        <v>0.21643044679166018</v>
      </c>
      <c r="X89" s="150">
        <f t="shared" si="85"/>
        <v>0.24555259835640178</v>
      </c>
    </row>
    <row r="90" spans="1:24" ht="12.75">
      <c r="A90" s="141">
        <v>73</v>
      </c>
      <c r="B90" s="142">
        <v>2.5</v>
      </c>
      <c r="C90" s="143">
        <v>73</v>
      </c>
      <c r="D90" s="143">
        <v>7.01</v>
      </c>
      <c r="E90" s="144" t="s">
        <v>82</v>
      </c>
      <c r="F90" s="144">
        <f t="shared" si="84"/>
        <v>11.408161896998969</v>
      </c>
      <c r="G90" s="145">
        <f t="shared" si="1"/>
        <v>3</v>
      </c>
      <c r="H90" s="145">
        <f t="shared" si="70"/>
        <v>2</v>
      </c>
      <c r="I90" s="145">
        <f t="shared" si="86"/>
        <v>2</v>
      </c>
      <c r="J90" s="146">
        <f t="shared" si="87"/>
        <v>3.8443082097745913</v>
      </c>
      <c r="K90" s="147"/>
      <c r="L90" s="145">
        <f t="shared" si="88"/>
        <v>0</v>
      </c>
      <c r="M90" s="145">
        <f t="shared" si="89"/>
        <v>9</v>
      </c>
      <c r="N90" s="145">
        <f t="shared" si="90"/>
        <v>15.03</v>
      </c>
      <c r="O90" s="145">
        <f t="shared" si="91"/>
        <v>19.2599841309707</v>
      </c>
      <c r="P90" s="145">
        <f t="shared" si="92"/>
        <v>0</v>
      </c>
      <c r="Q90" s="145">
        <f t="shared" si="93"/>
        <v>31.377232839098365</v>
      </c>
      <c r="R90" s="147">
        <f t="shared" si="94"/>
        <v>65.66721697006906</v>
      </c>
      <c r="S90" s="147"/>
      <c r="T90" s="128">
        <f t="shared" si="95"/>
        <v>0</v>
      </c>
      <c r="U90" s="128">
        <f t="shared" si="96"/>
        <v>0</v>
      </c>
      <c r="V90" s="150">
        <f t="shared" si="97"/>
        <v>0.029122151564741603</v>
      </c>
      <c r="W90" s="150">
        <f t="shared" si="98"/>
        <v>0.21643044679166018</v>
      </c>
      <c r="X90" s="150">
        <f t="shared" si="85"/>
        <v>0.24555259835640178</v>
      </c>
    </row>
    <row r="91" spans="1:24" ht="12.75">
      <c r="A91" s="141">
        <v>74</v>
      </c>
      <c r="B91" s="142">
        <v>2.5</v>
      </c>
      <c r="C91" s="143">
        <v>73</v>
      </c>
      <c r="D91" s="143">
        <v>7.01</v>
      </c>
      <c r="E91" s="144" t="s">
        <v>89</v>
      </c>
      <c r="F91" s="144">
        <f t="shared" si="84"/>
        <v>11.408161896998969</v>
      </c>
      <c r="G91" s="145">
        <f t="shared" si="1"/>
        <v>3</v>
      </c>
      <c r="H91" s="145">
        <f t="shared" si="70"/>
        <v>2</v>
      </c>
      <c r="I91" s="145">
        <f t="shared" si="86"/>
        <v>2</v>
      </c>
      <c r="J91" s="146">
        <f t="shared" si="87"/>
        <v>3.8443082097745913</v>
      </c>
      <c r="K91" s="147"/>
      <c r="L91" s="145">
        <f t="shared" si="88"/>
        <v>0</v>
      </c>
      <c r="M91" s="145">
        <f t="shared" si="89"/>
        <v>9</v>
      </c>
      <c r="N91" s="145">
        <f t="shared" si="90"/>
        <v>15.03</v>
      </c>
      <c r="O91" s="145">
        <f t="shared" si="91"/>
        <v>19.2599841309707</v>
      </c>
      <c r="P91" s="145">
        <f t="shared" si="92"/>
        <v>0</v>
      </c>
      <c r="Q91" s="145">
        <f t="shared" si="93"/>
        <v>31.377232839098365</v>
      </c>
      <c r="R91" s="147">
        <f t="shared" si="94"/>
        <v>65.66721697006906</v>
      </c>
      <c r="S91" s="147"/>
      <c r="T91" s="128">
        <f t="shared" si="95"/>
        <v>0</v>
      </c>
      <c r="U91" s="128">
        <f t="shared" si="96"/>
        <v>0</v>
      </c>
      <c r="V91" s="150">
        <f t="shared" si="97"/>
        <v>0.029122151564741603</v>
      </c>
      <c r="W91" s="150">
        <f t="shared" si="98"/>
        <v>0.21643044679166018</v>
      </c>
      <c r="X91" s="150">
        <f t="shared" si="85"/>
        <v>0.24555259835640178</v>
      </c>
    </row>
    <row r="92" spans="1:24" ht="12.75">
      <c r="A92" s="141">
        <v>75</v>
      </c>
      <c r="B92" s="142">
        <v>2.5</v>
      </c>
      <c r="C92" s="143">
        <v>73</v>
      </c>
      <c r="D92" s="143">
        <v>9.52</v>
      </c>
      <c r="E92" s="144" t="s">
        <v>90</v>
      </c>
      <c r="F92" s="144">
        <f t="shared" si="84"/>
        <v>14.903675838898836</v>
      </c>
      <c r="G92" s="145">
        <f t="shared" si="1"/>
        <v>3</v>
      </c>
      <c r="H92" s="145">
        <f t="shared" si="70"/>
        <v>2</v>
      </c>
      <c r="I92" s="145">
        <f t="shared" si="86"/>
        <v>2</v>
      </c>
      <c r="J92" s="146">
        <f t="shared" si="87"/>
        <v>5.770298949601782</v>
      </c>
      <c r="K92" s="147"/>
      <c r="L92" s="145">
        <f t="shared" si="88"/>
        <v>0</v>
      </c>
      <c r="M92" s="145">
        <f t="shared" si="89"/>
        <v>9</v>
      </c>
      <c r="N92" s="145">
        <f t="shared" si="90"/>
        <v>22.56</v>
      </c>
      <c r="O92" s="145">
        <f t="shared" si="91"/>
        <v>43.39264810100539</v>
      </c>
      <c r="P92" s="145">
        <f t="shared" si="92"/>
        <v>0</v>
      </c>
      <c r="Q92" s="145">
        <f t="shared" si="93"/>
        <v>39.08119579840712</v>
      </c>
      <c r="R92" s="147">
        <f t="shared" si="94"/>
        <v>105.03384389941252</v>
      </c>
      <c r="S92" s="147"/>
      <c r="T92" s="128">
        <f t="shared" si="95"/>
        <v>0</v>
      </c>
      <c r="U92" s="128">
        <f t="shared" si="96"/>
        <v>0</v>
      </c>
      <c r="V92" s="150">
        <f t="shared" si="97"/>
        <v>0.026800887657866354</v>
      </c>
      <c r="W92" s="150">
        <f t="shared" si="98"/>
        <v>0.3399260623638709</v>
      </c>
      <c r="X92" s="150">
        <f t="shared" si="85"/>
        <v>0.3667269500217373</v>
      </c>
    </row>
    <row r="93" spans="1:24" ht="12.75">
      <c r="A93" s="141">
        <v>76</v>
      </c>
      <c r="B93" s="142">
        <v>2.5</v>
      </c>
      <c r="C93" s="143">
        <v>73</v>
      </c>
      <c r="D93" s="143">
        <v>14.021</v>
      </c>
      <c r="E93" s="144" t="s">
        <v>83</v>
      </c>
      <c r="F93" s="144">
        <f t="shared" si="84"/>
        <v>20.393695169121543</v>
      </c>
      <c r="G93" s="145">
        <f t="shared" si="1"/>
        <v>3</v>
      </c>
      <c r="H93" s="145">
        <f t="shared" si="70"/>
        <v>2</v>
      </c>
      <c r="I93" s="145">
        <f t="shared" si="86"/>
        <v>2</v>
      </c>
      <c r="J93" s="146">
        <f t="shared" si="87"/>
        <v>9.224037722495083</v>
      </c>
      <c r="K93" s="147"/>
      <c r="L93" s="145">
        <f t="shared" si="88"/>
        <v>0</v>
      </c>
      <c r="M93" s="145">
        <f t="shared" si="89"/>
        <v>9</v>
      </c>
      <c r="N93" s="145">
        <f t="shared" si="90"/>
        <v>36.063</v>
      </c>
      <c r="O93" s="145">
        <f t="shared" si="91"/>
        <v>110.8821574621134</v>
      </c>
      <c r="P93" s="145">
        <f t="shared" si="92"/>
        <v>0</v>
      </c>
      <c r="Q93" s="145">
        <f t="shared" si="93"/>
        <v>52.89615088998033</v>
      </c>
      <c r="R93" s="147">
        <f t="shared" si="94"/>
        <v>199.84130835209373</v>
      </c>
      <c r="S93" s="147"/>
      <c r="T93" s="128">
        <f t="shared" si="95"/>
        <v>0</v>
      </c>
      <c r="U93" s="128">
        <f t="shared" si="96"/>
        <v>0</v>
      </c>
      <c r="V93" s="150">
        <f t="shared" si="97"/>
        <v>0.02263833433322673</v>
      </c>
      <c r="W93" s="150">
        <f t="shared" si="98"/>
        <v>0.625426513056272</v>
      </c>
      <c r="X93" s="150">
        <f t="shared" si="85"/>
        <v>0.6480648473894987</v>
      </c>
    </row>
    <row r="94" spans="1:24" ht="12.75">
      <c r="A94" s="141">
        <v>77</v>
      </c>
      <c r="B94" s="142"/>
      <c r="C94" s="143"/>
      <c r="D94" s="143"/>
      <c r="E94" s="144"/>
      <c r="F94" s="144">
        <f t="shared" si="84"/>
        <v>0</v>
      </c>
      <c r="G94" s="145"/>
      <c r="H94" s="145">
        <f t="shared" si="70"/>
        <v>0</v>
      </c>
      <c r="I94" s="145"/>
      <c r="J94" s="146"/>
      <c r="K94" s="147"/>
      <c r="L94" s="145"/>
      <c r="M94" s="145"/>
      <c r="N94" s="145"/>
      <c r="O94" s="145"/>
      <c r="P94" s="145"/>
      <c r="Q94" s="145"/>
      <c r="R94" s="147"/>
      <c r="S94" s="147"/>
      <c r="T94" s="128"/>
      <c r="U94" s="128"/>
      <c r="V94" s="150"/>
      <c r="W94" s="150"/>
      <c r="X94" s="150">
        <f t="shared" si="85"/>
        <v>0</v>
      </c>
    </row>
    <row r="95" spans="1:24" ht="12.75">
      <c r="A95" s="141">
        <v>78</v>
      </c>
      <c r="B95" s="142">
        <v>3</v>
      </c>
      <c r="C95" s="143">
        <v>88.9</v>
      </c>
      <c r="D95" s="143">
        <v>2.11</v>
      </c>
      <c r="E95" s="144" t="s">
        <v>81</v>
      </c>
      <c r="F95" s="144">
        <f t="shared" si="84"/>
        <v>4.51618447116018</v>
      </c>
      <c r="G95" s="145">
        <f t="shared" si="1"/>
        <v>3</v>
      </c>
      <c r="H95" s="145">
        <f t="shared" si="70"/>
        <v>2</v>
      </c>
      <c r="I95" s="145">
        <f>IF(D95&lt;=19,2,3)</f>
        <v>2</v>
      </c>
      <c r="J95" s="146">
        <f>IF(D95&lt;=19,(D95-H95)*TAN($C$8*PI()/180),(19-H95)*TAN($C$8*PI()/180))</f>
        <v>0.08440596867768554</v>
      </c>
      <c r="K95" s="147"/>
      <c r="L95" s="145">
        <f>IF(D95&lt;=19,0,(D95-19)*TAN($C$10*PI()/180))</f>
        <v>0</v>
      </c>
      <c r="M95" s="145">
        <f>+G95*(H95*1.5)</f>
        <v>9</v>
      </c>
      <c r="N95" s="145">
        <f>+G95*(D95-H95)</f>
        <v>0.3299999999999996</v>
      </c>
      <c r="O95" s="145">
        <f>IF(D95&lt;=19,(D95-H95)*J95,(19-H95)*J95)</f>
        <v>0.0092846565545454</v>
      </c>
      <c r="P95" s="145">
        <f>IF(D95&lt;=19,0,(J95*(D95-19)*2)+((L95)*(D95-19)))</f>
        <v>0</v>
      </c>
      <c r="Q95" s="145">
        <f>+(5+G95+(2*(J95+L95)))*I95</f>
        <v>16.337623874710744</v>
      </c>
      <c r="R95" s="147">
        <f>SUM(N95:Q95)</f>
        <v>16.676908531265287</v>
      </c>
      <c r="S95" s="147"/>
      <c r="T95" s="128">
        <f>IF(D$6=1,(PI()*(C95-(2*D95)+(2*H95))*M95*0.1*0.01*7.85*0.001/(T$16*T$17)),0)</f>
        <v>0</v>
      </c>
      <c r="U95" s="128">
        <f>IF(D$6=1,(PI()*(C95-(0.5*D95))*(R95)*0.1*0.01*7.85*0.001/(U$16*U$17)),0)</f>
        <v>0</v>
      </c>
      <c r="V95" s="150">
        <f>IF(D$6=1,0,(PI()*(C95-(2*D95)+(2*H95))*M95*0.1*0.01*7.85*0.001/(V$16*V$17)))</f>
        <v>0.04100591300033797</v>
      </c>
      <c r="W95" s="150">
        <f>IF(D$6=1,0,(PI()*(C95-(0.5*D95))*(R95)*0.1*0.01*7.85*0.001/(W$16*W$17)))</f>
        <v>0.06947823539807782</v>
      </c>
      <c r="X95" s="150">
        <f t="shared" si="85"/>
        <v>0.11048414839841579</v>
      </c>
    </row>
    <row r="96" spans="1:24" ht="12.75">
      <c r="A96" s="141">
        <v>79</v>
      </c>
      <c r="B96" s="142">
        <v>3</v>
      </c>
      <c r="C96" s="143">
        <v>88.9</v>
      </c>
      <c r="D96" s="143">
        <v>3.05</v>
      </c>
      <c r="E96" s="144" t="s">
        <v>84</v>
      </c>
      <c r="F96" s="144">
        <f t="shared" si="84"/>
        <v>6.457429424021045</v>
      </c>
      <c r="G96" s="145">
        <f t="shared" si="1"/>
        <v>3</v>
      </c>
      <c r="H96" s="145">
        <f t="shared" si="70"/>
        <v>2</v>
      </c>
      <c r="I96" s="145">
        <f aca="true" t="shared" si="99" ref="I96:I104">IF(D96&lt;=19,2,3)</f>
        <v>2</v>
      </c>
      <c r="J96" s="146">
        <f aca="true" t="shared" si="100" ref="J96:J104">IF(D96&lt;=19,(D96-H96)*TAN($C$8*PI()/180),(19-H96)*TAN($C$8*PI()/180))</f>
        <v>0.8056933373779083</v>
      </c>
      <c r="K96" s="147"/>
      <c r="L96" s="145">
        <f aca="true" t="shared" si="101" ref="L96:L104">IF(D96&lt;=19,0,(D96-19)*TAN($C$10*PI()/180))</f>
        <v>0</v>
      </c>
      <c r="M96" s="145">
        <f aca="true" t="shared" si="102" ref="M96:M104">+G96*(H96*1.5)</f>
        <v>9</v>
      </c>
      <c r="N96" s="145">
        <f aca="true" t="shared" si="103" ref="N96:N104">+G96*(D96-H96)</f>
        <v>3.1499999999999995</v>
      </c>
      <c r="O96" s="145">
        <f aca="true" t="shared" si="104" ref="O96:O104">IF(D96&lt;=19,(D96-H96)*J96,(19-H96)*J96)</f>
        <v>0.8459780042468036</v>
      </c>
      <c r="P96" s="145">
        <f aca="true" t="shared" si="105" ref="P96:P104">IF(D96&lt;=19,0,(J96*(D96-19)*2)+((L96)*(D96-19)))</f>
        <v>0</v>
      </c>
      <c r="Q96" s="145">
        <f aca="true" t="shared" si="106" ref="Q96:Q104">+(5+G96+(2*(J96+L96)))*I96</f>
        <v>19.222773349511634</v>
      </c>
      <c r="R96" s="147">
        <f aca="true" t="shared" si="107" ref="R96:R104">SUM(N96:Q96)</f>
        <v>23.218751353758435</v>
      </c>
      <c r="S96" s="147"/>
      <c r="T96" s="128">
        <f aca="true" t="shared" si="108" ref="T96:T104">IF(D$6=1,(PI()*(C96-(2*D96)+(2*H96))*M96*0.1*0.01*7.85*0.001/(T$16*T$17)),0)</f>
        <v>0</v>
      </c>
      <c r="U96" s="128">
        <f aca="true" t="shared" si="109" ref="U96:U104">IF(D$6=1,(PI()*(C96-(0.5*D96))*(R96)*0.1*0.01*7.85*0.001/(U$16*U$17)),0)</f>
        <v>0</v>
      </c>
      <c r="V96" s="150">
        <f aca="true" t="shared" si="110" ref="V96:V104">IF(D$6=1,0,(PI()*(C96-(2*D96)+(2*H96))*M96*0.1*0.01*7.85*0.001/(V$16*V$17)))</f>
        <v>0.04013659504318151</v>
      </c>
      <c r="W96" s="150">
        <f aca="true" t="shared" si="111" ref="W96:W104">IF(D$6=1,0,(PI()*(C96-(0.5*D96))*(R96)*0.1*0.01*7.85*0.001/(W$16*W$17)))</f>
        <v>0.09621487840089107</v>
      </c>
      <c r="X96" s="150">
        <f t="shared" si="85"/>
        <v>0.13635147344407259</v>
      </c>
    </row>
    <row r="97" spans="1:24" ht="12.75">
      <c r="A97" s="141">
        <v>80</v>
      </c>
      <c r="B97" s="142">
        <v>3</v>
      </c>
      <c r="C97" s="143">
        <v>88.9</v>
      </c>
      <c r="D97" s="143">
        <v>5.49</v>
      </c>
      <c r="E97" s="144" t="s">
        <v>85</v>
      </c>
      <c r="F97" s="144">
        <f t="shared" si="84"/>
        <v>11.293017342617027</v>
      </c>
      <c r="G97" s="145">
        <f t="shared" si="1"/>
        <v>3</v>
      </c>
      <c r="H97" s="145">
        <f t="shared" si="70"/>
        <v>2</v>
      </c>
      <c r="I97" s="145">
        <f t="shared" si="99"/>
        <v>2</v>
      </c>
      <c r="J97" s="146">
        <f t="shared" si="100"/>
        <v>2.677971188046572</v>
      </c>
      <c r="K97" s="147"/>
      <c r="L97" s="145">
        <f t="shared" si="101"/>
        <v>0</v>
      </c>
      <c r="M97" s="145">
        <f t="shared" si="102"/>
        <v>9</v>
      </c>
      <c r="N97" s="145">
        <f t="shared" si="103"/>
        <v>10.47</v>
      </c>
      <c r="O97" s="145">
        <f t="shared" si="104"/>
        <v>9.346119446282536</v>
      </c>
      <c r="P97" s="145">
        <f t="shared" si="105"/>
        <v>0</v>
      </c>
      <c r="Q97" s="145">
        <f t="shared" si="106"/>
        <v>26.711884752186286</v>
      </c>
      <c r="R97" s="147">
        <f t="shared" si="107"/>
        <v>46.52800419846882</v>
      </c>
      <c r="S97" s="147"/>
      <c r="T97" s="128">
        <f t="shared" si="108"/>
        <v>0</v>
      </c>
      <c r="U97" s="128">
        <f t="shared" si="109"/>
        <v>0</v>
      </c>
      <c r="V97" s="150">
        <f t="shared" si="110"/>
        <v>0.0378800675799243</v>
      </c>
      <c r="W97" s="150">
        <f t="shared" si="111"/>
        <v>0.1901126854759722</v>
      </c>
      <c r="X97" s="150">
        <f t="shared" si="85"/>
        <v>0.2279927530558965</v>
      </c>
    </row>
    <row r="98" spans="1:24" ht="12.75">
      <c r="A98" s="141">
        <v>81</v>
      </c>
      <c r="B98" s="142">
        <v>3</v>
      </c>
      <c r="C98" s="143">
        <v>88.9</v>
      </c>
      <c r="D98" s="143">
        <v>5.49</v>
      </c>
      <c r="E98" s="144" t="s">
        <v>86</v>
      </c>
      <c r="F98" s="144">
        <f t="shared" si="84"/>
        <v>11.293017342617027</v>
      </c>
      <c r="G98" s="145">
        <f t="shared" si="1"/>
        <v>3</v>
      </c>
      <c r="H98" s="145">
        <f t="shared" si="70"/>
        <v>2</v>
      </c>
      <c r="I98" s="145">
        <f t="shared" si="99"/>
        <v>2</v>
      </c>
      <c r="J98" s="146">
        <f t="shared" si="100"/>
        <v>2.677971188046572</v>
      </c>
      <c r="K98" s="147"/>
      <c r="L98" s="145">
        <f t="shared" si="101"/>
        <v>0</v>
      </c>
      <c r="M98" s="145">
        <f t="shared" si="102"/>
        <v>9</v>
      </c>
      <c r="N98" s="145">
        <f t="shared" si="103"/>
        <v>10.47</v>
      </c>
      <c r="O98" s="145">
        <f t="shared" si="104"/>
        <v>9.346119446282536</v>
      </c>
      <c r="P98" s="145">
        <f t="shared" si="105"/>
        <v>0</v>
      </c>
      <c r="Q98" s="145">
        <f t="shared" si="106"/>
        <v>26.711884752186286</v>
      </c>
      <c r="R98" s="147">
        <f t="shared" si="107"/>
        <v>46.52800419846882</v>
      </c>
      <c r="S98" s="147"/>
      <c r="T98" s="128">
        <f t="shared" si="108"/>
        <v>0</v>
      </c>
      <c r="U98" s="128">
        <f t="shared" si="109"/>
        <v>0</v>
      </c>
      <c r="V98" s="150">
        <f t="shared" si="110"/>
        <v>0.0378800675799243</v>
      </c>
      <c r="W98" s="150">
        <f t="shared" si="111"/>
        <v>0.1901126854759722</v>
      </c>
      <c r="X98" s="150">
        <f t="shared" si="85"/>
        <v>0.2279927530558965</v>
      </c>
    </row>
    <row r="99" spans="1:24" ht="12.75">
      <c r="A99" s="141">
        <v>82</v>
      </c>
      <c r="B99" s="142">
        <v>3</v>
      </c>
      <c r="C99" s="143">
        <v>88.9</v>
      </c>
      <c r="D99" s="143">
        <v>5.49</v>
      </c>
      <c r="E99" s="144" t="s">
        <v>87</v>
      </c>
      <c r="F99" s="144">
        <f t="shared" si="84"/>
        <v>11.293017342617027</v>
      </c>
      <c r="G99" s="145">
        <f t="shared" si="1"/>
        <v>3</v>
      </c>
      <c r="H99" s="145">
        <f t="shared" si="70"/>
        <v>2</v>
      </c>
      <c r="I99" s="145">
        <f t="shared" si="99"/>
        <v>2</v>
      </c>
      <c r="J99" s="146">
        <f t="shared" si="100"/>
        <v>2.677971188046572</v>
      </c>
      <c r="K99" s="147"/>
      <c r="L99" s="145">
        <f t="shared" si="101"/>
        <v>0</v>
      </c>
      <c r="M99" s="145">
        <f t="shared" si="102"/>
        <v>9</v>
      </c>
      <c r="N99" s="145">
        <f t="shared" si="103"/>
        <v>10.47</v>
      </c>
      <c r="O99" s="145">
        <f t="shared" si="104"/>
        <v>9.346119446282536</v>
      </c>
      <c r="P99" s="145">
        <f t="shared" si="105"/>
        <v>0</v>
      </c>
      <c r="Q99" s="145">
        <f t="shared" si="106"/>
        <v>26.711884752186286</v>
      </c>
      <c r="R99" s="147">
        <f t="shared" si="107"/>
        <v>46.52800419846882</v>
      </c>
      <c r="S99" s="147"/>
      <c r="T99" s="128">
        <f t="shared" si="108"/>
        <v>0</v>
      </c>
      <c r="U99" s="128">
        <f t="shared" si="109"/>
        <v>0</v>
      </c>
      <c r="V99" s="150">
        <f t="shared" si="110"/>
        <v>0.0378800675799243</v>
      </c>
      <c r="W99" s="150">
        <f t="shared" si="111"/>
        <v>0.1901126854759722</v>
      </c>
      <c r="X99" s="150">
        <f t="shared" si="85"/>
        <v>0.2279927530558965</v>
      </c>
    </row>
    <row r="100" spans="1:24" ht="12.75">
      <c r="A100" s="141">
        <v>83</v>
      </c>
      <c r="B100" s="142">
        <v>3</v>
      </c>
      <c r="C100" s="143">
        <v>88.9</v>
      </c>
      <c r="D100" s="143">
        <v>7.62</v>
      </c>
      <c r="E100" s="144" t="s">
        <v>88</v>
      </c>
      <c r="F100" s="144">
        <f t="shared" si="84"/>
        <v>15.27419024991497</v>
      </c>
      <c r="G100" s="145">
        <f t="shared" si="1"/>
        <v>3</v>
      </c>
      <c r="H100" s="145">
        <f t="shared" si="70"/>
        <v>2</v>
      </c>
      <c r="I100" s="145">
        <f t="shared" si="99"/>
        <v>2</v>
      </c>
      <c r="J100" s="146">
        <f t="shared" si="100"/>
        <v>4.312377672441757</v>
      </c>
      <c r="K100" s="147"/>
      <c r="L100" s="145">
        <f t="shared" si="101"/>
        <v>0</v>
      </c>
      <c r="M100" s="145">
        <f t="shared" si="102"/>
        <v>9</v>
      </c>
      <c r="N100" s="145">
        <f t="shared" si="103"/>
        <v>16.86</v>
      </c>
      <c r="O100" s="145">
        <f t="shared" si="104"/>
        <v>24.235562519122674</v>
      </c>
      <c r="P100" s="145">
        <f t="shared" si="105"/>
        <v>0</v>
      </c>
      <c r="Q100" s="145">
        <f t="shared" si="106"/>
        <v>33.24951068976703</v>
      </c>
      <c r="R100" s="147">
        <f t="shared" si="107"/>
        <v>74.3450732088897</v>
      </c>
      <c r="S100" s="147"/>
      <c r="T100" s="128">
        <f t="shared" si="108"/>
        <v>0</v>
      </c>
      <c r="U100" s="128">
        <f t="shared" si="109"/>
        <v>0</v>
      </c>
      <c r="V100" s="150">
        <f t="shared" si="110"/>
        <v>0.03591023008126124</v>
      </c>
      <c r="W100" s="150">
        <f t="shared" si="111"/>
        <v>0.30001771766535645</v>
      </c>
      <c r="X100" s="150">
        <f t="shared" si="85"/>
        <v>0.3359279477466177</v>
      </c>
    </row>
    <row r="101" spans="1:24" ht="12.75">
      <c r="A101" s="141">
        <v>84</v>
      </c>
      <c r="B101" s="142">
        <v>3</v>
      </c>
      <c r="C101" s="143">
        <v>88.9</v>
      </c>
      <c r="D101" s="143">
        <v>7.62</v>
      </c>
      <c r="E101" s="144" t="s">
        <v>82</v>
      </c>
      <c r="F101" s="144">
        <f t="shared" si="84"/>
        <v>15.27419024991497</v>
      </c>
      <c r="G101" s="145">
        <f t="shared" si="1"/>
        <v>3</v>
      </c>
      <c r="H101" s="145">
        <f t="shared" si="70"/>
        <v>2</v>
      </c>
      <c r="I101" s="145">
        <f t="shared" si="99"/>
        <v>2</v>
      </c>
      <c r="J101" s="146">
        <f t="shared" si="100"/>
        <v>4.312377672441757</v>
      </c>
      <c r="K101" s="147"/>
      <c r="L101" s="145">
        <f t="shared" si="101"/>
        <v>0</v>
      </c>
      <c r="M101" s="145">
        <f t="shared" si="102"/>
        <v>9</v>
      </c>
      <c r="N101" s="145">
        <f t="shared" si="103"/>
        <v>16.86</v>
      </c>
      <c r="O101" s="145">
        <f t="shared" si="104"/>
        <v>24.235562519122674</v>
      </c>
      <c r="P101" s="145">
        <f t="shared" si="105"/>
        <v>0</v>
      </c>
      <c r="Q101" s="145">
        <f t="shared" si="106"/>
        <v>33.24951068976703</v>
      </c>
      <c r="R101" s="147">
        <f t="shared" si="107"/>
        <v>74.3450732088897</v>
      </c>
      <c r="S101" s="147"/>
      <c r="T101" s="128">
        <f t="shared" si="108"/>
        <v>0</v>
      </c>
      <c r="U101" s="128">
        <f t="shared" si="109"/>
        <v>0</v>
      </c>
      <c r="V101" s="150">
        <f t="shared" si="110"/>
        <v>0.03591023008126124</v>
      </c>
      <c r="W101" s="150">
        <f t="shared" si="111"/>
        <v>0.30001771766535645</v>
      </c>
      <c r="X101" s="150">
        <f t="shared" si="85"/>
        <v>0.3359279477466177</v>
      </c>
    </row>
    <row r="102" spans="1:24" ht="12.75">
      <c r="A102" s="141">
        <v>85</v>
      </c>
      <c r="B102" s="142">
        <v>3</v>
      </c>
      <c r="C102" s="143">
        <v>88.9</v>
      </c>
      <c r="D102" s="143">
        <v>7.62</v>
      </c>
      <c r="E102" s="144" t="s">
        <v>89</v>
      </c>
      <c r="F102" s="144">
        <f t="shared" si="84"/>
        <v>15.27419024991497</v>
      </c>
      <c r="G102" s="145">
        <f t="shared" si="1"/>
        <v>3</v>
      </c>
      <c r="H102" s="145">
        <f t="shared" si="70"/>
        <v>2</v>
      </c>
      <c r="I102" s="145">
        <f t="shared" si="99"/>
        <v>2</v>
      </c>
      <c r="J102" s="146">
        <f t="shared" si="100"/>
        <v>4.312377672441757</v>
      </c>
      <c r="K102" s="147"/>
      <c r="L102" s="145">
        <f t="shared" si="101"/>
        <v>0</v>
      </c>
      <c r="M102" s="145">
        <f t="shared" si="102"/>
        <v>9</v>
      </c>
      <c r="N102" s="145">
        <f t="shared" si="103"/>
        <v>16.86</v>
      </c>
      <c r="O102" s="145">
        <f t="shared" si="104"/>
        <v>24.235562519122674</v>
      </c>
      <c r="P102" s="145">
        <f t="shared" si="105"/>
        <v>0</v>
      </c>
      <c r="Q102" s="145">
        <f t="shared" si="106"/>
        <v>33.24951068976703</v>
      </c>
      <c r="R102" s="147">
        <f t="shared" si="107"/>
        <v>74.3450732088897</v>
      </c>
      <c r="S102" s="147"/>
      <c r="T102" s="128">
        <f t="shared" si="108"/>
        <v>0</v>
      </c>
      <c r="U102" s="128">
        <f t="shared" si="109"/>
        <v>0</v>
      </c>
      <c r="V102" s="150">
        <f t="shared" si="110"/>
        <v>0.03591023008126124</v>
      </c>
      <c r="W102" s="150">
        <f t="shared" si="111"/>
        <v>0.30001771766535645</v>
      </c>
      <c r="X102" s="150">
        <f t="shared" si="85"/>
        <v>0.3359279477466177</v>
      </c>
    </row>
    <row r="103" spans="1:24" ht="12.75">
      <c r="A103" s="141">
        <v>86</v>
      </c>
      <c r="B103" s="142">
        <v>3</v>
      </c>
      <c r="C103" s="143">
        <v>88.9</v>
      </c>
      <c r="D103" s="143">
        <v>11.13</v>
      </c>
      <c r="E103" s="144" t="s">
        <v>90</v>
      </c>
      <c r="F103" s="144">
        <f t="shared" si="84"/>
        <v>21.346505653540124</v>
      </c>
      <c r="G103" s="145">
        <f t="shared" si="1"/>
        <v>3</v>
      </c>
      <c r="H103" s="145">
        <f t="shared" si="70"/>
        <v>2</v>
      </c>
      <c r="I103" s="145">
        <f t="shared" si="99"/>
        <v>2</v>
      </c>
      <c r="J103" s="146">
        <f t="shared" si="100"/>
        <v>7.005695400247909</v>
      </c>
      <c r="K103" s="147"/>
      <c r="L103" s="145">
        <f t="shared" si="101"/>
        <v>0</v>
      </c>
      <c r="M103" s="145">
        <f t="shared" si="102"/>
        <v>9</v>
      </c>
      <c r="N103" s="145">
        <f t="shared" si="103"/>
        <v>27.39</v>
      </c>
      <c r="O103" s="145">
        <f t="shared" si="104"/>
        <v>63.96199900426341</v>
      </c>
      <c r="P103" s="145">
        <f t="shared" si="105"/>
        <v>0</v>
      </c>
      <c r="Q103" s="145">
        <f t="shared" si="106"/>
        <v>44.022781600991635</v>
      </c>
      <c r="R103" s="147">
        <f t="shared" si="107"/>
        <v>135.37478060525504</v>
      </c>
      <c r="S103" s="147"/>
      <c r="T103" s="128">
        <f t="shared" si="108"/>
        <v>0</v>
      </c>
      <c r="U103" s="128">
        <f t="shared" si="109"/>
        <v>0</v>
      </c>
      <c r="V103" s="150">
        <f t="shared" si="110"/>
        <v>0.03266415983698551</v>
      </c>
      <c r="W103" s="150">
        <f t="shared" si="111"/>
        <v>0.535034012551462</v>
      </c>
      <c r="X103" s="150">
        <f t="shared" si="85"/>
        <v>0.5676981723884476</v>
      </c>
    </row>
    <row r="104" spans="1:24" ht="12.75">
      <c r="A104" s="141">
        <v>87</v>
      </c>
      <c r="B104" s="142">
        <v>3</v>
      </c>
      <c r="C104" s="143">
        <v>88.9</v>
      </c>
      <c r="D104" s="143">
        <v>15.241</v>
      </c>
      <c r="E104" s="144" t="s">
        <v>83</v>
      </c>
      <c r="F104" s="144">
        <f t="shared" si="84"/>
        <v>27.685910528275542</v>
      </c>
      <c r="G104" s="145">
        <f t="shared" si="1"/>
        <v>3</v>
      </c>
      <c r="H104" s="145">
        <f t="shared" si="70"/>
        <v>2</v>
      </c>
      <c r="I104" s="145">
        <f t="shared" si="99"/>
        <v>2</v>
      </c>
      <c r="J104" s="146">
        <f t="shared" si="100"/>
        <v>10.160176647829415</v>
      </c>
      <c r="K104" s="147"/>
      <c r="L104" s="145">
        <f t="shared" si="101"/>
        <v>0</v>
      </c>
      <c r="M104" s="145">
        <f t="shared" si="102"/>
        <v>9</v>
      </c>
      <c r="N104" s="145">
        <f t="shared" si="103"/>
        <v>39.723</v>
      </c>
      <c r="O104" s="145">
        <f t="shared" si="104"/>
        <v>134.5308989939093</v>
      </c>
      <c r="P104" s="145">
        <f t="shared" si="105"/>
        <v>0</v>
      </c>
      <c r="Q104" s="145">
        <f t="shared" si="106"/>
        <v>56.64070659131766</v>
      </c>
      <c r="R104" s="147">
        <f t="shared" si="107"/>
        <v>230.89460558522694</v>
      </c>
      <c r="S104" s="147"/>
      <c r="T104" s="128">
        <f t="shared" si="108"/>
        <v>0</v>
      </c>
      <c r="U104" s="128">
        <f t="shared" si="109"/>
        <v>0</v>
      </c>
      <c r="V104" s="150">
        <f t="shared" si="110"/>
        <v>0.02886228098393207</v>
      </c>
      <c r="W104" s="150">
        <f t="shared" si="111"/>
        <v>0.8900430139450622</v>
      </c>
      <c r="X104" s="150">
        <f t="shared" si="85"/>
        <v>0.9189052949289943</v>
      </c>
    </row>
    <row r="105" spans="1:24" ht="12.75">
      <c r="A105" s="141">
        <v>88</v>
      </c>
      <c r="B105" s="142"/>
      <c r="C105" s="143"/>
      <c r="D105" s="143"/>
      <c r="E105" s="144"/>
      <c r="F105" s="144">
        <f t="shared" si="84"/>
        <v>0</v>
      </c>
      <c r="G105" s="145"/>
      <c r="H105" s="145">
        <f t="shared" si="70"/>
        <v>0</v>
      </c>
      <c r="I105" s="145"/>
      <c r="J105" s="146"/>
      <c r="K105" s="147"/>
      <c r="L105" s="145"/>
      <c r="M105" s="145"/>
      <c r="N105" s="145"/>
      <c r="O105" s="145"/>
      <c r="P105" s="145"/>
      <c r="Q105" s="145"/>
      <c r="R105" s="147"/>
      <c r="S105" s="147"/>
      <c r="T105" s="128"/>
      <c r="U105" s="128"/>
      <c r="V105" s="150"/>
      <c r="W105" s="150"/>
      <c r="X105" s="150">
        <f t="shared" si="85"/>
        <v>0</v>
      </c>
    </row>
    <row r="106" spans="1:24" ht="12.75">
      <c r="A106" s="141">
        <v>89</v>
      </c>
      <c r="B106" s="142">
        <v>3.5</v>
      </c>
      <c r="C106" s="143">
        <v>101.6</v>
      </c>
      <c r="D106" s="143">
        <v>2.11</v>
      </c>
      <c r="E106" s="144" t="s">
        <v>81</v>
      </c>
      <c r="F106" s="144">
        <f t="shared" si="84"/>
        <v>5.177038749115408</v>
      </c>
      <c r="G106" s="145">
        <f t="shared" si="1"/>
        <v>3</v>
      </c>
      <c r="H106" s="145">
        <f t="shared" si="70"/>
        <v>2</v>
      </c>
      <c r="I106" s="145">
        <f>IF(D106&lt;=19,2,3)</f>
        <v>2</v>
      </c>
      <c r="J106" s="146">
        <f>IF(D106&lt;=19,(D106-H106)*TAN($C$8*PI()/180),(19-H106)*TAN($C$8*PI()/180))</f>
        <v>0.08440596867768554</v>
      </c>
      <c r="K106" s="147"/>
      <c r="L106" s="145">
        <f>IF(D106&lt;=19,0,(D106-19)*TAN($C$10*PI()/180))</f>
        <v>0</v>
      </c>
      <c r="M106" s="145">
        <f>+G106*(H106*1.5)</f>
        <v>9</v>
      </c>
      <c r="N106" s="145">
        <f>+G106*(D106-H106)</f>
        <v>0.3299999999999996</v>
      </c>
      <c r="O106" s="145">
        <f>IF(D106&lt;=19,(D106-H106)*J106,(19-H106)*J106)</f>
        <v>0.0092846565545454</v>
      </c>
      <c r="P106" s="145">
        <f>IF(D106&lt;=19,0,(J106*(D106-19)*2)+((L106)*(D106-19)))</f>
        <v>0</v>
      </c>
      <c r="Q106" s="145">
        <f>+(5+G106+(2*(J106+L106)))*I106</f>
        <v>16.337623874710744</v>
      </c>
      <c r="R106" s="147">
        <f>SUM(N106:Q106)</f>
        <v>16.676908531265287</v>
      </c>
      <c r="S106" s="147"/>
      <c r="T106" s="128">
        <f>IF(D$6=1,(PI()*(C106-(2*D106)+(2*H106))*M106*0.1*0.01*7.85*0.001/(T$16*T$17)),0)</f>
        <v>0</v>
      </c>
      <c r="U106" s="128">
        <f>IF(D$6=1,(PI()*(C106-(0.5*D106))*(R106)*0.1*0.01*7.85*0.001/(U$16*U$17)),0)</f>
        <v>0</v>
      </c>
      <c r="V106" s="150">
        <f>IF(D$6=1,0,(PI()*(C106-(2*D106)+(2*H106))*M106*0.1*0.01*7.85*0.001/(V$16*V$17)))</f>
        <v>0.0468784332428311</v>
      </c>
      <c r="W106" s="150">
        <f>IF(D$6=1,0,(PI()*(C106-(0.5*D106))*(R106)*0.1*0.01*7.85*0.001/(W$16*W$17)))</f>
        <v>0.07952290031418677</v>
      </c>
      <c r="X106" s="150">
        <f t="shared" si="85"/>
        <v>0.12640133355701788</v>
      </c>
    </row>
    <row r="107" spans="1:24" ht="12.75">
      <c r="A107" s="141">
        <v>90</v>
      </c>
      <c r="B107" s="142">
        <v>3.5</v>
      </c>
      <c r="C107" s="143">
        <v>101.6</v>
      </c>
      <c r="D107" s="143">
        <v>3.05</v>
      </c>
      <c r="E107" s="144" t="s">
        <v>84</v>
      </c>
      <c r="F107" s="144">
        <f t="shared" si="84"/>
        <v>7.412692716799929</v>
      </c>
      <c r="G107" s="145">
        <f t="shared" si="1"/>
        <v>3</v>
      </c>
      <c r="H107" s="145">
        <f t="shared" si="70"/>
        <v>2</v>
      </c>
      <c r="I107" s="145">
        <f aca="true" t="shared" si="112" ref="I107:I113">IF(D107&lt;=19,2,3)</f>
        <v>2</v>
      </c>
      <c r="J107" s="146">
        <f aca="true" t="shared" si="113" ref="J107:J113">IF(D107&lt;=19,(D107-H107)*TAN($C$8*PI()/180),(19-H107)*TAN($C$8*PI()/180))</f>
        <v>0.8056933373779083</v>
      </c>
      <c r="K107" s="147"/>
      <c r="L107" s="145">
        <f aca="true" t="shared" si="114" ref="L107:L113">IF(D107&lt;=19,0,(D107-19)*TAN($C$10*PI()/180))</f>
        <v>0</v>
      </c>
      <c r="M107" s="145">
        <f aca="true" t="shared" si="115" ref="M107:M113">+G107*(H107*1.5)</f>
        <v>9</v>
      </c>
      <c r="N107" s="145">
        <f aca="true" t="shared" si="116" ref="N107:N113">+G107*(D107-H107)</f>
        <v>3.1499999999999995</v>
      </c>
      <c r="O107" s="145">
        <f aca="true" t="shared" si="117" ref="O107:O113">IF(D107&lt;=19,(D107-H107)*J107,(19-H107)*J107)</f>
        <v>0.8459780042468036</v>
      </c>
      <c r="P107" s="145">
        <f aca="true" t="shared" si="118" ref="P107:P113">IF(D107&lt;=19,0,(J107*(D107-19)*2)+((L107)*(D107-19)))</f>
        <v>0</v>
      </c>
      <c r="Q107" s="145">
        <f aca="true" t="shared" si="119" ref="Q107:Q113">+(5+G107+(2*(J107+L107)))*I107</f>
        <v>19.222773349511634</v>
      </c>
      <c r="R107" s="147">
        <f aca="true" t="shared" si="120" ref="R107:R113">SUM(N107:Q107)</f>
        <v>23.218751353758435</v>
      </c>
      <c r="S107" s="147"/>
      <c r="T107" s="128">
        <f aca="true" t="shared" si="121" ref="T107:T113">IF(D$6=1,(PI()*(C107-(2*D107)+(2*H107))*M107*0.1*0.01*7.85*0.001/(T$16*T$17)),0)</f>
        <v>0</v>
      </c>
      <c r="U107" s="128">
        <f aca="true" t="shared" si="122" ref="U107:U113">IF(D$6=1,(PI()*(C107-(0.5*D107))*(R107)*0.1*0.01*7.85*0.001/(U$16*U$17)),0)</f>
        <v>0</v>
      </c>
      <c r="V107" s="150">
        <f aca="true" t="shared" si="123" ref="V107:V113">IF(D$6=1,0,(PI()*(C107-(2*D107)+(2*H107))*M107*0.1*0.01*7.85*0.001/(V$16*V$17)))</f>
        <v>0.04600911528567466</v>
      </c>
      <c r="W107" s="150">
        <f aca="true" t="shared" si="124" ref="W107:W113">IF(D$6=1,0,(PI()*(C107-(0.5*D107))*(R107)*0.1*0.01*7.85*0.001/(W$16*W$17)))</f>
        <v>0.11019975915272304</v>
      </c>
      <c r="X107" s="150">
        <f t="shared" si="85"/>
        <v>0.1562088744383977</v>
      </c>
    </row>
    <row r="108" spans="1:24" ht="12.75">
      <c r="A108" s="141">
        <v>91</v>
      </c>
      <c r="B108" s="142">
        <v>3.5</v>
      </c>
      <c r="C108" s="143">
        <v>101.6</v>
      </c>
      <c r="D108" s="143">
        <v>5.74</v>
      </c>
      <c r="E108" s="144" t="s">
        <v>85</v>
      </c>
      <c r="F108" s="144">
        <f t="shared" si="84"/>
        <v>13.569656261024905</v>
      </c>
      <c r="G108" s="145">
        <f t="shared" si="1"/>
        <v>3</v>
      </c>
      <c r="H108" s="145">
        <f aca="true" t="shared" si="125" ref="H108:H147">IF(D108&lt;2,D108,2)</f>
        <v>2</v>
      </c>
      <c r="I108" s="145">
        <f t="shared" si="112"/>
        <v>2</v>
      </c>
      <c r="J108" s="146">
        <f t="shared" si="113"/>
        <v>2.869802935041312</v>
      </c>
      <c r="K108" s="147"/>
      <c r="L108" s="145">
        <f t="shared" si="114"/>
        <v>0</v>
      </c>
      <c r="M108" s="145">
        <f t="shared" si="115"/>
        <v>9</v>
      </c>
      <c r="N108" s="145">
        <f t="shared" si="116"/>
        <v>11.22</v>
      </c>
      <c r="O108" s="145">
        <f t="shared" si="117"/>
        <v>10.733062977054507</v>
      </c>
      <c r="P108" s="145">
        <f t="shared" si="118"/>
        <v>0</v>
      </c>
      <c r="Q108" s="145">
        <f t="shared" si="119"/>
        <v>27.479211740165248</v>
      </c>
      <c r="R108" s="147">
        <f t="shared" si="120"/>
        <v>49.432274717219755</v>
      </c>
      <c r="S108" s="147"/>
      <c r="T108" s="128">
        <f t="shared" si="121"/>
        <v>0</v>
      </c>
      <c r="U108" s="128">
        <f t="shared" si="122"/>
        <v>0</v>
      </c>
      <c r="V108" s="150">
        <f t="shared" si="123"/>
        <v>0.04352138623806731</v>
      </c>
      <c r="W108" s="150">
        <f t="shared" si="124"/>
        <v>0.23145998391173533</v>
      </c>
      <c r="X108" s="150">
        <f t="shared" si="85"/>
        <v>0.2749813701498026</v>
      </c>
    </row>
    <row r="109" spans="1:24" ht="12.75">
      <c r="A109" s="141">
        <v>92</v>
      </c>
      <c r="B109" s="142">
        <v>3.5</v>
      </c>
      <c r="C109" s="143">
        <v>101.6</v>
      </c>
      <c r="D109" s="143">
        <v>5.74</v>
      </c>
      <c r="E109" s="144" t="s">
        <v>86</v>
      </c>
      <c r="F109" s="144">
        <f t="shared" si="84"/>
        <v>13.569656261024905</v>
      </c>
      <c r="G109" s="145">
        <f t="shared" si="1"/>
        <v>3</v>
      </c>
      <c r="H109" s="145">
        <f t="shared" si="125"/>
        <v>2</v>
      </c>
      <c r="I109" s="145">
        <f t="shared" si="112"/>
        <v>2</v>
      </c>
      <c r="J109" s="146">
        <f t="shared" si="113"/>
        <v>2.869802935041312</v>
      </c>
      <c r="K109" s="147"/>
      <c r="L109" s="145">
        <f t="shared" si="114"/>
        <v>0</v>
      </c>
      <c r="M109" s="145">
        <f t="shared" si="115"/>
        <v>9</v>
      </c>
      <c r="N109" s="145">
        <f t="shared" si="116"/>
        <v>11.22</v>
      </c>
      <c r="O109" s="145">
        <f t="shared" si="117"/>
        <v>10.733062977054507</v>
      </c>
      <c r="P109" s="145">
        <f t="shared" si="118"/>
        <v>0</v>
      </c>
      <c r="Q109" s="145">
        <f t="shared" si="119"/>
        <v>27.479211740165248</v>
      </c>
      <c r="R109" s="147">
        <f t="shared" si="120"/>
        <v>49.432274717219755</v>
      </c>
      <c r="S109" s="147"/>
      <c r="T109" s="128">
        <f t="shared" si="121"/>
        <v>0</v>
      </c>
      <c r="U109" s="128">
        <f t="shared" si="122"/>
        <v>0</v>
      </c>
      <c r="V109" s="150">
        <f t="shared" si="123"/>
        <v>0.04352138623806731</v>
      </c>
      <c r="W109" s="150">
        <f t="shared" si="124"/>
        <v>0.23145998391173533</v>
      </c>
      <c r="X109" s="150">
        <f t="shared" si="85"/>
        <v>0.2749813701498026</v>
      </c>
    </row>
    <row r="110" spans="1:24" ht="12.75">
      <c r="A110" s="141">
        <v>93</v>
      </c>
      <c r="B110" s="142">
        <v>3.5</v>
      </c>
      <c r="C110" s="143">
        <v>101.6</v>
      </c>
      <c r="D110" s="143">
        <v>5.74</v>
      </c>
      <c r="E110" s="144" t="s">
        <v>87</v>
      </c>
      <c r="F110" s="144">
        <f t="shared" si="84"/>
        <v>13.569656261024905</v>
      </c>
      <c r="G110" s="145">
        <f t="shared" si="1"/>
        <v>3</v>
      </c>
      <c r="H110" s="145">
        <f t="shared" si="125"/>
        <v>2</v>
      </c>
      <c r="I110" s="145">
        <f t="shared" si="112"/>
        <v>2</v>
      </c>
      <c r="J110" s="146">
        <f t="shared" si="113"/>
        <v>2.869802935041312</v>
      </c>
      <c r="K110" s="147"/>
      <c r="L110" s="145">
        <f t="shared" si="114"/>
        <v>0</v>
      </c>
      <c r="M110" s="145">
        <f t="shared" si="115"/>
        <v>9</v>
      </c>
      <c r="N110" s="145">
        <f t="shared" si="116"/>
        <v>11.22</v>
      </c>
      <c r="O110" s="145">
        <f t="shared" si="117"/>
        <v>10.733062977054507</v>
      </c>
      <c r="P110" s="145">
        <f t="shared" si="118"/>
        <v>0</v>
      </c>
      <c r="Q110" s="145">
        <f t="shared" si="119"/>
        <v>27.479211740165248</v>
      </c>
      <c r="R110" s="147">
        <f t="shared" si="120"/>
        <v>49.432274717219755</v>
      </c>
      <c r="S110" s="147"/>
      <c r="T110" s="128">
        <f t="shared" si="121"/>
        <v>0</v>
      </c>
      <c r="U110" s="128">
        <f t="shared" si="122"/>
        <v>0</v>
      </c>
      <c r="V110" s="150">
        <f t="shared" si="123"/>
        <v>0.04352138623806731</v>
      </c>
      <c r="W110" s="150">
        <f t="shared" si="124"/>
        <v>0.23145998391173533</v>
      </c>
      <c r="X110" s="150">
        <f t="shared" si="85"/>
        <v>0.2749813701498026</v>
      </c>
    </row>
    <row r="111" spans="1:24" ht="12.75">
      <c r="A111" s="141">
        <v>94</v>
      </c>
      <c r="B111" s="142">
        <v>3.5</v>
      </c>
      <c r="C111" s="143">
        <v>101.6</v>
      </c>
      <c r="D111" s="143">
        <v>8.08</v>
      </c>
      <c r="E111" s="144" t="s">
        <v>88</v>
      </c>
      <c r="F111" s="144">
        <f t="shared" si="84"/>
        <v>18.635257079558667</v>
      </c>
      <c r="G111" s="145">
        <f t="shared" si="1"/>
        <v>3</v>
      </c>
      <c r="H111" s="145">
        <f t="shared" si="125"/>
        <v>2</v>
      </c>
      <c r="I111" s="145">
        <f t="shared" si="112"/>
        <v>2</v>
      </c>
      <c r="J111" s="146">
        <f t="shared" si="113"/>
        <v>4.665348086912079</v>
      </c>
      <c r="K111" s="147"/>
      <c r="L111" s="145">
        <f t="shared" si="114"/>
        <v>0</v>
      </c>
      <c r="M111" s="145">
        <f t="shared" si="115"/>
        <v>9</v>
      </c>
      <c r="N111" s="145">
        <f t="shared" si="116"/>
        <v>18.240000000000002</v>
      </c>
      <c r="O111" s="145">
        <f t="shared" si="117"/>
        <v>28.365316368425443</v>
      </c>
      <c r="P111" s="145">
        <f t="shared" si="118"/>
        <v>0</v>
      </c>
      <c r="Q111" s="145">
        <f t="shared" si="119"/>
        <v>34.66139234764832</v>
      </c>
      <c r="R111" s="147">
        <f t="shared" si="120"/>
        <v>81.26670871607377</v>
      </c>
      <c r="S111" s="147"/>
      <c r="T111" s="128">
        <f t="shared" si="121"/>
        <v>0</v>
      </c>
      <c r="U111" s="128">
        <f t="shared" si="122"/>
        <v>0</v>
      </c>
      <c r="V111" s="150">
        <f t="shared" si="123"/>
        <v>0.04135733940855016</v>
      </c>
      <c r="W111" s="150">
        <f t="shared" si="124"/>
        <v>0.37601108533149563</v>
      </c>
      <c r="X111" s="150">
        <f t="shared" si="85"/>
        <v>0.41736842474004576</v>
      </c>
    </row>
    <row r="112" spans="1:24" ht="12.75">
      <c r="A112" s="141">
        <v>95</v>
      </c>
      <c r="B112" s="142">
        <v>3.5</v>
      </c>
      <c r="C112" s="143">
        <v>101.6</v>
      </c>
      <c r="D112" s="143">
        <v>8.08</v>
      </c>
      <c r="E112" s="144" t="s">
        <v>82</v>
      </c>
      <c r="F112" s="144">
        <f t="shared" si="84"/>
        <v>18.635257079558667</v>
      </c>
      <c r="G112" s="145">
        <f t="shared" si="1"/>
        <v>3</v>
      </c>
      <c r="H112" s="145">
        <f t="shared" si="125"/>
        <v>2</v>
      </c>
      <c r="I112" s="145">
        <f t="shared" si="112"/>
        <v>2</v>
      </c>
      <c r="J112" s="146">
        <f t="shared" si="113"/>
        <v>4.665348086912079</v>
      </c>
      <c r="K112" s="147"/>
      <c r="L112" s="145">
        <f t="shared" si="114"/>
        <v>0</v>
      </c>
      <c r="M112" s="145">
        <f t="shared" si="115"/>
        <v>9</v>
      </c>
      <c r="N112" s="145">
        <f t="shared" si="116"/>
        <v>18.240000000000002</v>
      </c>
      <c r="O112" s="145">
        <f t="shared" si="117"/>
        <v>28.365316368425443</v>
      </c>
      <c r="P112" s="145">
        <f t="shared" si="118"/>
        <v>0</v>
      </c>
      <c r="Q112" s="145">
        <f t="shared" si="119"/>
        <v>34.66139234764832</v>
      </c>
      <c r="R112" s="147">
        <f t="shared" si="120"/>
        <v>81.26670871607377</v>
      </c>
      <c r="S112" s="147"/>
      <c r="T112" s="128">
        <f t="shared" si="121"/>
        <v>0</v>
      </c>
      <c r="U112" s="128">
        <f t="shared" si="122"/>
        <v>0</v>
      </c>
      <c r="V112" s="150">
        <f t="shared" si="123"/>
        <v>0.04135733940855016</v>
      </c>
      <c r="W112" s="150">
        <f t="shared" si="124"/>
        <v>0.37601108533149563</v>
      </c>
      <c r="X112" s="150">
        <f t="shared" si="85"/>
        <v>0.41736842474004576</v>
      </c>
    </row>
    <row r="113" spans="1:24" ht="12.75">
      <c r="A113" s="141">
        <v>96</v>
      </c>
      <c r="B113" s="142">
        <v>3.5</v>
      </c>
      <c r="C113" s="143">
        <v>101.6</v>
      </c>
      <c r="D113" s="143">
        <v>8.08</v>
      </c>
      <c r="E113" s="144" t="s">
        <v>89</v>
      </c>
      <c r="F113" s="144">
        <f t="shared" si="84"/>
        <v>18.635257079558667</v>
      </c>
      <c r="G113" s="145">
        <f t="shared" si="1"/>
        <v>3</v>
      </c>
      <c r="H113" s="145">
        <f t="shared" si="125"/>
        <v>2</v>
      </c>
      <c r="I113" s="145">
        <f t="shared" si="112"/>
        <v>2</v>
      </c>
      <c r="J113" s="146">
        <f t="shared" si="113"/>
        <v>4.665348086912079</v>
      </c>
      <c r="K113" s="147"/>
      <c r="L113" s="145">
        <f t="shared" si="114"/>
        <v>0</v>
      </c>
      <c r="M113" s="145">
        <f t="shared" si="115"/>
        <v>9</v>
      </c>
      <c r="N113" s="145">
        <f t="shared" si="116"/>
        <v>18.240000000000002</v>
      </c>
      <c r="O113" s="145">
        <f t="shared" si="117"/>
        <v>28.365316368425443</v>
      </c>
      <c r="P113" s="145">
        <f t="shared" si="118"/>
        <v>0</v>
      </c>
      <c r="Q113" s="145">
        <f t="shared" si="119"/>
        <v>34.66139234764832</v>
      </c>
      <c r="R113" s="147">
        <f t="shared" si="120"/>
        <v>81.26670871607377</v>
      </c>
      <c r="S113" s="147"/>
      <c r="T113" s="128">
        <f t="shared" si="121"/>
        <v>0</v>
      </c>
      <c r="U113" s="128">
        <f t="shared" si="122"/>
        <v>0</v>
      </c>
      <c r="V113" s="150">
        <f t="shared" si="123"/>
        <v>0.04135733940855016</v>
      </c>
      <c r="W113" s="150">
        <f t="shared" si="124"/>
        <v>0.37601108533149563</v>
      </c>
      <c r="X113" s="150">
        <f t="shared" si="85"/>
        <v>0.41736842474004576</v>
      </c>
    </row>
    <row r="114" spans="1:24" ht="12.75">
      <c r="A114" s="141">
        <v>97</v>
      </c>
      <c r="B114" s="142"/>
      <c r="C114" s="143"/>
      <c r="D114" s="143"/>
      <c r="E114" s="144"/>
      <c r="F114" s="144">
        <f t="shared" si="84"/>
        <v>0</v>
      </c>
      <c r="G114" s="145"/>
      <c r="H114" s="145">
        <f t="shared" si="125"/>
        <v>0</v>
      </c>
      <c r="I114" s="145"/>
      <c r="J114" s="146"/>
      <c r="K114" s="147"/>
      <c r="L114" s="145"/>
      <c r="M114" s="145"/>
      <c r="N114" s="145"/>
      <c r="O114" s="145"/>
      <c r="P114" s="145"/>
      <c r="Q114" s="145"/>
      <c r="R114" s="147"/>
      <c r="S114" s="147"/>
      <c r="T114" s="128"/>
      <c r="U114" s="128"/>
      <c r="V114" s="150"/>
      <c r="W114" s="150"/>
      <c r="X114" s="150">
        <f t="shared" si="85"/>
        <v>0</v>
      </c>
    </row>
    <row r="115" spans="1:24" ht="12.75">
      <c r="A115" s="141">
        <v>98</v>
      </c>
      <c r="B115" s="142">
        <v>4</v>
      </c>
      <c r="C115" s="143">
        <v>114.3</v>
      </c>
      <c r="D115" s="143">
        <v>2.11</v>
      </c>
      <c r="E115" s="144" t="s">
        <v>81</v>
      </c>
      <c r="F115" s="144">
        <f t="shared" si="84"/>
        <v>5.8378930270706375</v>
      </c>
      <c r="G115" s="145">
        <f t="shared" si="1"/>
        <v>3</v>
      </c>
      <c r="H115" s="145">
        <f t="shared" si="125"/>
        <v>2</v>
      </c>
      <c r="I115" s="145">
        <f>IF(D115&lt;=19,2,3)</f>
        <v>2</v>
      </c>
      <c r="J115" s="146">
        <f>IF(D115&lt;=19,(D115-H115)*TAN($C$8*PI()/180),(19-H115)*TAN($C$8*PI()/180))</f>
        <v>0.08440596867768554</v>
      </c>
      <c r="K115" s="147"/>
      <c r="L115" s="145">
        <f>IF(D115&lt;=19,0,(D115-19)*TAN($C$10*PI()/180))</f>
        <v>0</v>
      </c>
      <c r="M115" s="145">
        <f>+G115*(H115*1.5)</f>
        <v>9</v>
      </c>
      <c r="N115" s="145">
        <f>+G115*(D115-H115)</f>
        <v>0.3299999999999996</v>
      </c>
      <c r="O115" s="145">
        <f>IF(D115&lt;=19,(D115-H115)*J115,(19-H115)*J115)</f>
        <v>0.0092846565545454</v>
      </c>
      <c r="P115" s="145">
        <f>IF(D115&lt;=19,0,(J115*(D115-19)*2)+((L115)*(D115-19)))</f>
        <v>0</v>
      </c>
      <c r="Q115" s="145">
        <f>+(5+G115+(2*(J115+L115)))*I115</f>
        <v>16.337623874710744</v>
      </c>
      <c r="R115" s="147">
        <f>SUM(N115:Q115)</f>
        <v>16.676908531265287</v>
      </c>
      <c r="S115" s="147"/>
      <c r="T115" s="128">
        <f>IF(D$6=1,(PI()*(C115-(2*D115)+(2*H115))*M115*0.1*0.01*7.85*0.001/(T$16*T$17)),0)</f>
        <v>0</v>
      </c>
      <c r="U115" s="128">
        <f>IF(D$6=1,(PI()*(C115-(0.5*D115))*(R115)*0.1*0.01*7.85*0.001/(U$16*U$17)),0)</f>
        <v>0</v>
      </c>
      <c r="V115" s="150">
        <f>IF(D$6=1,0,(PI()*(C115-(2*D115)+(2*H115))*M115*0.1*0.01*7.85*0.001/(V$16*V$17)))</f>
        <v>0.05275095348532425</v>
      </c>
      <c r="W115" s="150">
        <f>IF(D$6=1,0,(PI()*(C115-(0.5*D115))*(R115)*0.1*0.01*7.85*0.001/(W$16*W$17)))</f>
        <v>0.0895675652302957</v>
      </c>
      <c r="X115" s="150">
        <f t="shared" si="85"/>
        <v>0.14231851871561996</v>
      </c>
    </row>
    <row r="116" spans="1:24" ht="12.75">
      <c r="A116" s="141">
        <v>99</v>
      </c>
      <c r="B116" s="142">
        <v>4</v>
      </c>
      <c r="C116" s="143">
        <v>114.3</v>
      </c>
      <c r="D116" s="143">
        <v>3.05</v>
      </c>
      <c r="E116" s="144" t="s">
        <v>84</v>
      </c>
      <c r="F116" s="144">
        <f t="shared" si="84"/>
        <v>8.367956009578814</v>
      </c>
      <c r="G116" s="145">
        <f t="shared" si="1"/>
        <v>3</v>
      </c>
      <c r="H116" s="145">
        <f t="shared" si="125"/>
        <v>2</v>
      </c>
      <c r="I116" s="145">
        <f aca="true" t="shared" si="126" ref="I116:I125">IF(D116&lt;=19,2,3)</f>
        <v>2</v>
      </c>
      <c r="J116" s="146">
        <f aca="true" t="shared" si="127" ref="J116:J125">IF(D116&lt;=19,(D116-H116)*TAN($C$8*PI()/180),(19-H116)*TAN($C$8*PI()/180))</f>
        <v>0.8056933373779083</v>
      </c>
      <c r="K116" s="147"/>
      <c r="L116" s="145">
        <f aca="true" t="shared" si="128" ref="L116:L125">IF(D116&lt;=19,0,(D116-19)*TAN($C$10*PI()/180))</f>
        <v>0</v>
      </c>
      <c r="M116" s="145">
        <f aca="true" t="shared" si="129" ref="M116:M125">+G116*(H116*1.5)</f>
        <v>9</v>
      </c>
      <c r="N116" s="145">
        <f aca="true" t="shared" si="130" ref="N116:N125">+G116*(D116-H116)</f>
        <v>3.1499999999999995</v>
      </c>
      <c r="O116" s="145">
        <f aca="true" t="shared" si="131" ref="O116:O125">IF(D116&lt;=19,(D116-H116)*J116,(19-H116)*J116)</f>
        <v>0.8459780042468036</v>
      </c>
      <c r="P116" s="145">
        <f aca="true" t="shared" si="132" ref="P116:P125">IF(D116&lt;=19,0,(J116*(D116-19)*2)+((L116)*(D116-19)))</f>
        <v>0</v>
      </c>
      <c r="Q116" s="145">
        <f aca="true" t="shared" si="133" ref="Q116:Q125">+(5+G116+(2*(J116+L116)))*I116</f>
        <v>19.222773349511634</v>
      </c>
      <c r="R116" s="147">
        <f aca="true" t="shared" si="134" ref="R116:R125">SUM(N116:Q116)</f>
        <v>23.218751353758435</v>
      </c>
      <c r="S116" s="147"/>
      <c r="T116" s="128">
        <f aca="true" t="shared" si="135" ref="T116:T125">IF(D$6=1,(PI()*(C116-(2*D116)+(2*H116))*M116*0.1*0.01*7.85*0.001/(T$16*T$17)),0)</f>
        <v>0</v>
      </c>
      <c r="U116" s="128">
        <f aca="true" t="shared" si="136" ref="U116:U125">IF(D$6=1,(PI()*(C116-(0.5*D116))*(R116)*0.1*0.01*7.85*0.001/(U$16*U$17)),0)</f>
        <v>0</v>
      </c>
      <c r="V116" s="150">
        <f aca="true" t="shared" si="137" ref="V116:V125">IF(D$6=1,0,(PI()*(C116-(2*D116)+(2*H116))*M116*0.1*0.01*7.85*0.001/(V$16*V$17)))</f>
        <v>0.05188163552816781</v>
      </c>
      <c r="W116" s="150">
        <f aca="true" t="shared" si="138" ref="W116:W125">IF(D$6=1,0,(PI()*(C116-(0.5*D116))*(R116)*0.1*0.01*7.85*0.001/(W$16*W$17)))</f>
        <v>0.12418463990455497</v>
      </c>
      <c r="X116" s="150">
        <f t="shared" si="85"/>
        <v>0.1760662754327228</v>
      </c>
    </row>
    <row r="117" spans="1:24" ht="12.75">
      <c r="A117" s="141">
        <v>100</v>
      </c>
      <c r="B117" s="142">
        <v>4</v>
      </c>
      <c r="C117" s="143">
        <v>114.3</v>
      </c>
      <c r="D117" s="143">
        <v>6.02</v>
      </c>
      <c r="E117" s="144" t="s">
        <v>85</v>
      </c>
      <c r="F117" s="144">
        <f t="shared" si="84"/>
        <v>16.07549178364342</v>
      </c>
      <c r="G117" s="145">
        <f t="shared" si="1"/>
        <v>3</v>
      </c>
      <c r="H117" s="145">
        <f t="shared" si="125"/>
        <v>2</v>
      </c>
      <c r="I117" s="145">
        <f t="shared" si="126"/>
        <v>2</v>
      </c>
      <c r="J117" s="146">
        <f t="shared" si="127"/>
        <v>3.0846544916754204</v>
      </c>
      <c r="K117" s="147"/>
      <c r="L117" s="145">
        <f t="shared" si="128"/>
        <v>0</v>
      </c>
      <c r="M117" s="145">
        <f t="shared" si="129"/>
        <v>9</v>
      </c>
      <c r="N117" s="145">
        <f t="shared" si="130"/>
        <v>12.059999999999999</v>
      </c>
      <c r="O117" s="145">
        <f t="shared" si="131"/>
        <v>12.40031105653519</v>
      </c>
      <c r="P117" s="145">
        <f t="shared" si="132"/>
        <v>0</v>
      </c>
      <c r="Q117" s="145">
        <f t="shared" si="133"/>
        <v>28.338617966701683</v>
      </c>
      <c r="R117" s="147">
        <f t="shared" si="134"/>
        <v>52.79892902323687</v>
      </c>
      <c r="S117" s="147"/>
      <c r="T117" s="128">
        <f t="shared" si="135"/>
        <v>0</v>
      </c>
      <c r="U117" s="128">
        <f t="shared" si="136"/>
        <v>0</v>
      </c>
      <c r="V117" s="150">
        <f t="shared" si="137"/>
        <v>0.049134960706088325</v>
      </c>
      <c r="W117" s="150">
        <f t="shared" si="138"/>
        <v>0.27867463539122467</v>
      </c>
      <c r="X117" s="150">
        <f t="shared" si="85"/>
        <v>0.32780959609731297</v>
      </c>
    </row>
    <row r="118" spans="1:24" ht="12.75">
      <c r="A118" s="141">
        <v>101</v>
      </c>
      <c r="B118" s="142">
        <v>4</v>
      </c>
      <c r="C118" s="143">
        <v>114.3</v>
      </c>
      <c r="D118" s="143">
        <v>6.02</v>
      </c>
      <c r="E118" s="144" t="s">
        <v>86</v>
      </c>
      <c r="F118" s="144">
        <f t="shared" si="84"/>
        <v>16.07549178364342</v>
      </c>
      <c r="G118" s="145">
        <f t="shared" si="1"/>
        <v>3</v>
      </c>
      <c r="H118" s="145">
        <f t="shared" si="125"/>
        <v>2</v>
      </c>
      <c r="I118" s="145">
        <f t="shared" si="126"/>
        <v>2</v>
      </c>
      <c r="J118" s="146">
        <f t="shared" si="127"/>
        <v>3.0846544916754204</v>
      </c>
      <c r="K118" s="147"/>
      <c r="L118" s="145">
        <f t="shared" si="128"/>
        <v>0</v>
      </c>
      <c r="M118" s="145">
        <f t="shared" si="129"/>
        <v>9</v>
      </c>
      <c r="N118" s="145">
        <f t="shared" si="130"/>
        <v>12.059999999999999</v>
      </c>
      <c r="O118" s="145">
        <f t="shared" si="131"/>
        <v>12.40031105653519</v>
      </c>
      <c r="P118" s="145">
        <f t="shared" si="132"/>
        <v>0</v>
      </c>
      <c r="Q118" s="145">
        <f t="shared" si="133"/>
        <v>28.338617966701683</v>
      </c>
      <c r="R118" s="147">
        <f t="shared" si="134"/>
        <v>52.79892902323687</v>
      </c>
      <c r="S118" s="147"/>
      <c r="T118" s="128">
        <f t="shared" si="135"/>
        <v>0</v>
      </c>
      <c r="U118" s="128">
        <f t="shared" si="136"/>
        <v>0</v>
      </c>
      <c r="V118" s="150">
        <f t="shared" si="137"/>
        <v>0.049134960706088325</v>
      </c>
      <c r="W118" s="150">
        <f t="shared" si="138"/>
        <v>0.27867463539122467</v>
      </c>
      <c r="X118" s="150">
        <f t="shared" si="85"/>
        <v>0.32780959609731297</v>
      </c>
    </row>
    <row r="119" spans="1:24" ht="12.75">
      <c r="A119" s="141">
        <v>102</v>
      </c>
      <c r="B119" s="142">
        <v>4</v>
      </c>
      <c r="C119" s="143">
        <v>114.3</v>
      </c>
      <c r="D119" s="143">
        <v>6.02</v>
      </c>
      <c r="E119" s="144" t="s">
        <v>87</v>
      </c>
      <c r="F119" s="144">
        <f t="shared" si="84"/>
        <v>16.07549178364342</v>
      </c>
      <c r="G119" s="145">
        <f t="shared" si="1"/>
        <v>3</v>
      </c>
      <c r="H119" s="145">
        <f t="shared" si="125"/>
        <v>2</v>
      </c>
      <c r="I119" s="145">
        <f t="shared" si="126"/>
        <v>2</v>
      </c>
      <c r="J119" s="146">
        <f t="shared" si="127"/>
        <v>3.0846544916754204</v>
      </c>
      <c r="K119" s="147"/>
      <c r="L119" s="145">
        <f t="shared" si="128"/>
        <v>0</v>
      </c>
      <c r="M119" s="145">
        <f t="shared" si="129"/>
        <v>9</v>
      </c>
      <c r="N119" s="145">
        <f t="shared" si="130"/>
        <v>12.059999999999999</v>
      </c>
      <c r="O119" s="145">
        <f t="shared" si="131"/>
        <v>12.40031105653519</v>
      </c>
      <c r="P119" s="145">
        <f t="shared" si="132"/>
        <v>0</v>
      </c>
      <c r="Q119" s="145">
        <f t="shared" si="133"/>
        <v>28.338617966701683</v>
      </c>
      <c r="R119" s="147">
        <f t="shared" si="134"/>
        <v>52.79892902323687</v>
      </c>
      <c r="S119" s="147"/>
      <c r="T119" s="128">
        <f t="shared" si="135"/>
        <v>0</v>
      </c>
      <c r="U119" s="128">
        <f t="shared" si="136"/>
        <v>0</v>
      </c>
      <c r="V119" s="150">
        <f t="shared" si="137"/>
        <v>0.049134960706088325</v>
      </c>
      <c r="W119" s="150">
        <f t="shared" si="138"/>
        <v>0.27867463539122467</v>
      </c>
      <c r="X119" s="150">
        <f t="shared" si="85"/>
        <v>0.32780959609731297</v>
      </c>
    </row>
    <row r="120" spans="1:24" ht="12.75">
      <c r="A120" s="141">
        <v>103</v>
      </c>
      <c r="B120" s="142">
        <v>4</v>
      </c>
      <c r="C120" s="143">
        <v>114.3</v>
      </c>
      <c r="D120" s="143">
        <v>8.56</v>
      </c>
      <c r="E120" s="144" t="s">
        <v>88</v>
      </c>
      <c r="F120" s="144">
        <f t="shared" si="84"/>
        <v>22.321974115178527</v>
      </c>
      <c r="G120" s="145">
        <f t="shared" si="1"/>
        <v>3</v>
      </c>
      <c r="H120" s="145">
        <f t="shared" si="125"/>
        <v>2</v>
      </c>
      <c r="I120" s="145">
        <f t="shared" si="126"/>
        <v>2</v>
      </c>
      <c r="J120" s="146">
        <f t="shared" si="127"/>
        <v>5.0336650411419805</v>
      </c>
      <c r="K120" s="147"/>
      <c r="L120" s="145">
        <f t="shared" si="128"/>
        <v>0</v>
      </c>
      <c r="M120" s="145">
        <f t="shared" si="129"/>
        <v>9</v>
      </c>
      <c r="N120" s="145">
        <f t="shared" si="130"/>
        <v>19.68</v>
      </c>
      <c r="O120" s="145">
        <f t="shared" si="131"/>
        <v>33.020842669891394</v>
      </c>
      <c r="P120" s="145">
        <f t="shared" si="132"/>
        <v>0</v>
      </c>
      <c r="Q120" s="145">
        <f t="shared" si="133"/>
        <v>36.13466016456792</v>
      </c>
      <c r="R120" s="147">
        <f t="shared" si="134"/>
        <v>88.8355028344593</v>
      </c>
      <c r="S120" s="147"/>
      <c r="T120" s="128">
        <f t="shared" si="135"/>
        <v>0</v>
      </c>
      <c r="U120" s="128">
        <f t="shared" si="136"/>
        <v>0</v>
      </c>
      <c r="V120" s="150">
        <f t="shared" si="137"/>
        <v>0.04678595260909106</v>
      </c>
      <c r="W120" s="150">
        <f t="shared" si="138"/>
        <v>0.46352631146367124</v>
      </c>
      <c r="X120" s="150">
        <f t="shared" si="85"/>
        <v>0.5103122640727623</v>
      </c>
    </row>
    <row r="121" spans="1:24" ht="12.75">
      <c r="A121" s="141">
        <v>104</v>
      </c>
      <c r="B121" s="142">
        <v>4</v>
      </c>
      <c r="C121" s="143">
        <v>114.3</v>
      </c>
      <c r="D121" s="143">
        <v>8.56</v>
      </c>
      <c r="E121" s="144" t="s">
        <v>82</v>
      </c>
      <c r="F121" s="144">
        <f t="shared" si="84"/>
        <v>22.321974115178527</v>
      </c>
      <c r="G121" s="145">
        <f t="shared" si="1"/>
        <v>3</v>
      </c>
      <c r="H121" s="145">
        <f t="shared" si="125"/>
        <v>2</v>
      </c>
      <c r="I121" s="145">
        <f t="shared" si="126"/>
        <v>2</v>
      </c>
      <c r="J121" s="146">
        <f t="shared" si="127"/>
        <v>5.0336650411419805</v>
      </c>
      <c r="K121" s="147"/>
      <c r="L121" s="145">
        <f t="shared" si="128"/>
        <v>0</v>
      </c>
      <c r="M121" s="145">
        <f t="shared" si="129"/>
        <v>9</v>
      </c>
      <c r="N121" s="145">
        <f t="shared" si="130"/>
        <v>19.68</v>
      </c>
      <c r="O121" s="145">
        <f t="shared" si="131"/>
        <v>33.020842669891394</v>
      </c>
      <c r="P121" s="145">
        <f t="shared" si="132"/>
        <v>0</v>
      </c>
      <c r="Q121" s="145">
        <f t="shared" si="133"/>
        <v>36.13466016456792</v>
      </c>
      <c r="R121" s="147">
        <f t="shared" si="134"/>
        <v>88.8355028344593</v>
      </c>
      <c r="S121" s="147"/>
      <c r="T121" s="128">
        <f t="shared" si="135"/>
        <v>0</v>
      </c>
      <c r="U121" s="128">
        <f t="shared" si="136"/>
        <v>0</v>
      </c>
      <c r="V121" s="150">
        <f t="shared" si="137"/>
        <v>0.04678595260909106</v>
      </c>
      <c r="W121" s="150">
        <f t="shared" si="138"/>
        <v>0.46352631146367124</v>
      </c>
      <c r="X121" s="150">
        <f t="shared" si="85"/>
        <v>0.5103122640727623</v>
      </c>
    </row>
    <row r="122" spans="1:24" ht="12.75">
      <c r="A122" s="141">
        <v>105</v>
      </c>
      <c r="B122" s="142">
        <v>4</v>
      </c>
      <c r="C122" s="143">
        <v>114.3</v>
      </c>
      <c r="D122" s="143">
        <v>8.56</v>
      </c>
      <c r="E122" s="144" t="s">
        <v>89</v>
      </c>
      <c r="F122" s="144">
        <f t="shared" si="84"/>
        <v>22.321974115178527</v>
      </c>
      <c r="G122" s="145">
        <f t="shared" si="1"/>
        <v>3</v>
      </c>
      <c r="H122" s="145">
        <f t="shared" si="125"/>
        <v>2</v>
      </c>
      <c r="I122" s="145">
        <f t="shared" si="126"/>
        <v>2</v>
      </c>
      <c r="J122" s="146">
        <f t="shared" si="127"/>
        <v>5.0336650411419805</v>
      </c>
      <c r="K122" s="147"/>
      <c r="L122" s="145">
        <f t="shared" si="128"/>
        <v>0</v>
      </c>
      <c r="M122" s="145">
        <f t="shared" si="129"/>
        <v>9</v>
      </c>
      <c r="N122" s="145">
        <f t="shared" si="130"/>
        <v>19.68</v>
      </c>
      <c r="O122" s="145">
        <f t="shared" si="131"/>
        <v>33.020842669891394</v>
      </c>
      <c r="P122" s="145">
        <f t="shared" si="132"/>
        <v>0</v>
      </c>
      <c r="Q122" s="145">
        <f t="shared" si="133"/>
        <v>36.13466016456792</v>
      </c>
      <c r="R122" s="147">
        <f t="shared" si="134"/>
        <v>88.8355028344593</v>
      </c>
      <c r="S122" s="147"/>
      <c r="T122" s="128">
        <f t="shared" si="135"/>
        <v>0</v>
      </c>
      <c r="U122" s="128">
        <f t="shared" si="136"/>
        <v>0</v>
      </c>
      <c r="V122" s="150">
        <f t="shared" si="137"/>
        <v>0.04678595260909106</v>
      </c>
      <c r="W122" s="150">
        <f t="shared" si="138"/>
        <v>0.46352631146367124</v>
      </c>
      <c r="X122" s="150">
        <f t="shared" si="85"/>
        <v>0.5103122640727623</v>
      </c>
    </row>
    <row r="123" spans="1:24" ht="12.75">
      <c r="A123" s="141">
        <v>106</v>
      </c>
      <c r="B123" s="142">
        <v>4</v>
      </c>
      <c r="C123" s="143">
        <v>114.3</v>
      </c>
      <c r="D123" s="143">
        <v>11.13</v>
      </c>
      <c r="E123" s="144" t="s">
        <v>91</v>
      </c>
      <c r="F123" s="144">
        <f t="shared" si="84"/>
        <v>28.318361685427984</v>
      </c>
      <c r="G123" s="145">
        <f t="shared" si="1"/>
        <v>3</v>
      </c>
      <c r="H123" s="145">
        <f t="shared" si="125"/>
        <v>2</v>
      </c>
      <c r="I123" s="145">
        <f t="shared" si="126"/>
        <v>2</v>
      </c>
      <c r="J123" s="146">
        <f t="shared" si="127"/>
        <v>7.005695400247909</v>
      </c>
      <c r="K123" s="147"/>
      <c r="L123" s="145">
        <f t="shared" si="128"/>
        <v>0</v>
      </c>
      <c r="M123" s="145">
        <f t="shared" si="129"/>
        <v>9</v>
      </c>
      <c r="N123" s="145">
        <f t="shared" si="130"/>
        <v>27.39</v>
      </c>
      <c r="O123" s="145">
        <f t="shared" si="131"/>
        <v>63.96199900426341</v>
      </c>
      <c r="P123" s="145">
        <f t="shared" si="132"/>
        <v>0</v>
      </c>
      <c r="Q123" s="145">
        <f t="shared" si="133"/>
        <v>44.022781600991635</v>
      </c>
      <c r="R123" s="147">
        <f t="shared" si="134"/>
        <v>135.37478060525504</v>
      </c>
      <c r="S123" s="147"/>
      <c r="T123" s="128">
        <f t="shared" si="135"/>
        <v>0</v>
      </c>
      <c r="U123" s="128">
        <f t="shared" si="136"/>
        <v>0</v>
      </c>
      <c r="V123" s="150">
        <f t="shared" si="137"/>
        <v>0.04440920032197179</v>
      </c>
      <c r="W123" s="150">
        <f t="shared" si="138"/>
        <v>0.6981091180750371</v>
      </c>
      <c r="X123" s="150">
        <f t="shared" si="85"/>
        <v>0.7425183183970089</v>
      </c>
    </row>
    <row r="124" spans="1:24" ht="12.75">
      <c r="A124" s="141">
        <v>107</v>
      </c>
      <c r="B124" s="142">
        <v>4</v>
      </c>
      <c r="C124" s="143">
        <v>114.3</v>
      </c>
      <c r="D124" s="143">
        <v>13.49</v>
      </c>
      <c r="E124" s="144" t="s">
        <v>90</v>
      </c>
      <c r="F124" s="144">
        <f t="shared" si="84"/>
        <v>33.537840413904256</v>
      </c>
      <c r="G124" s="145">
        <f t="shared" si="1"/>
        <v>3</v>
      </c>
      <c r="H124" s="145">
        <f t="shared" si="125"/>
        <v>2</v>
      </c>
      <c r="I124" s="145">
        <f t="shared" si="126"/>
        <v>2</v>
      </c>
      <c r="J124" s="146">
        <f t="shared" si="127"/>
        <v>8.816587091878255</v>
      </c>
      <c r="K124" s="147"/>
      <c r="L124" s="145">
        <f t="shared" si="128"/>
        <v>0</v>
      </c>
      <c r="M124" s="145">
        <f t="shared" si="129"/>
        <v>9</v>
      </c>
      <c r="N124" s="145">
        <f t="shared" si="130"/>
        <v>34.47</v>
      </c>
      <c r="O124" s="145">
        <f t="shared" si="131"/>
        <v>101.30258568568115</v>
      </c>
      <c r="P124" s="145">
        <f t="shared" si="132"/>
        <v>0</v>
      </c>
      <c r="Q124" s="145">
        <f t="shared" si="133"/>
        <v>51.26634836751302</v>
      </c>
      <c r="R124" s="147">
        <f t="shared" si="134"/>
        <v>187.03893405319417</v>
      </c>
      <c r="S124" s="147"/>
      <c r="T124" s="128">
        <f t="shared" si="135"/>
        <v>0</v>
      </c>
      <c r="U124" s="128">
        <f t="shared" si="136"/>
        <v>0</v>
      </c>
      <c r="V124" s="150">
        <f t="shared" si="137"/>
        <v>0.04222665736570662</v>
      </c>
      <c r="W124" s="150">
        <f t="shared" si="138"/>
        <v>0.9540668566915819</v>
      </c>
      <c r="X124" s="150">
        <f t="shared" si="85"/>
        <v>0.9962935140572885</v>
      </c>
    </row>
    <row r="125" spans="1:24" ht="12.75">
      <c r="A125" s="141">
        <v>108</v>
      </c>
      <c r="B125" s="142">
        <v>4</v>
      </c>
      <c r="C125" s="143">
        <v>114.3</v>
      </c>
      <c r="D125" s="143">
        <v>17.121</v>
      </c>
      <c r="E125" s="144" t="s">
        <v>83</v>
      </c>
      <c r="F125" s="144">
        <f t="shared" si="84"/>
        <v>41.03184849121754</v>
      </c>
      <c r="G125" s="145">
        <f t="shared" si="1"/>
        <v>3</v>
      </c>
      <c r="H125" s="145">
        <f t="shared" si="125"/>
        <v>2</v>
      </c>
      <c r="I125" s="145">
        <f t="shared" si="126"/>
        <v>2</v>
      </c>
      <c r="J125" s="146">
        <f t="shared" si="127"/>
        <v>11.602751385229858</v>
      </c>
      <c r="K125" s="147"/>
      <c r="L125" s="145">
        <f t="shared" si="128"/>
        <v>0</v>
      </c>
      <c r="M125" s="145">
        <f t="shared" si="129"/>
        <v>9</v>
      </c>
      <c r="N125" s="145">
        <f t="shared" si="130"/>
        <v>45.363</v>
      </c>
      <c r="O125" s="145">
        <f t="shared" si="131"/>
        <v>175.44520369606067</v>
      </c>
      <c r="P125" s="145">
        <f t="shared" si="132"/>
        <v>0</v>
      </c>
      <c r="Q125" s="145">
        <f t="shared" si="133"/>
        <v>62.41100554091943</v>
      </c>
      <c r="R125" s="147">
        <f t="shared" si="134"/>
        <v>283.2192092369801</v>
      </c>
      <c r="S125" s="147"/>
      <c r="T125" s="128">
        <f t="shared" si="135"/>
        <v>0</v>
      </c>
      <c r="U125" s="128">
        <f t="shared" si="136"/>
        <v>0</v>
      </c>
      <c r="V125" s="150">
        <f t="shared" si="137"/>
        <v>0.038868685554605424</v>
      </c>
      <c r="W125" s="150">
        <f t="shared" si="138"/>
        <v>1.4202871053588502</v>
      </c>
      <c r="X125" s="150">
        <f t="shared" si="85"/>
        <v>1.4591557909134556</v>
      </c>
    </row>
    <row r="126" spans="1:24" ht="12.75">
      <c r="A126" s="141">
        <v>109</v>
      </c>
      <c r="B126" s="142"/>
      <c r="C126" s="143"/>
      <c r="D126" s="143"/>
      <c r="E126" s="144"/>
      <c r="F126" s="144">
        <f t="shared" si="84"/>
        <v>0</v>
      </c>
      <c r="G126" s="145"/>
      <c r="H126" s="145">
        <f t="shared" si="125"/>
        <v>0</v>
      </c>
      <c r="I126" s="145"/>
      <c r="J126" s="146"/>
      <c r="K126" s="147"/>
      <c r="L126" s="145"/>
      <c r="M126" s="145"/>
      <c r="N126" s="145"/>
      <c r="O126" s="145"/>
      <c r="P126" s="145"/>
      <c r="Q126" s="145"/>
      <c r="R126" s="147"/>
      <c r="S126" s="147"/>
      <c r="T126" s="128"/>
      <c r="U126" s="128"/>
      <c r="V126" s="150"/>
      <c r="W126" s="150"/>
      <c r="X126" s="150">
        <f t="shared" si="85"/>
        <v>0</v>
      </c>
    </row>
    <row r="127" spans="1:24" ht="12.75">
      <c r="A127" s="141">
        <v>110</v>
      </c>
      <c r="B127" s="142">
        <v>5</v>
      </c>
      <c r="C127" s="143">
        <v>141.3</v>
      </c>
      <c r="D127" s="143">
        <v>2.77</v>
      </c>
      <c r="E127" s="144" t="s">
        <v>81</v>
      </c>
      <c r="F127" s="144">
        <f t="shared" si="84"/>
        <v>9.46331143249736</v>
      </c>
      <c r="G127" s="145">
        <f t="shared" si="1"/>
        <v>3</v>
      </c>
      <c r="H127" s="145">
        <f t="shared" si="125"/>
        <v>2</v>
      </c>
      <c r="I127" s="145">
        <f>IF(D127&lt;=19,2,3)</f>
        <v>2</v>
      </c>
      <c r="J127" s="146">
        <f>IF(D127&lt;=19,(D127-H127)*TAN($C$8*PI()/180),(19-H127)*TAN($C$8*PI()/180))</f>
        <v>0.5908417807437994</v>
      </c>
      <c r="K127" s="147"/>
      <c r="L127" s="145">
        <f>IF(D127&lt;=19,0,(D127-19)*TAN($C$10*PI()/180))</f>
        <v>0</v>
      </c>
      <c r="M127" s="145">
        <f>+G127*(H127*1.5)</f>
        <v>9</v>
      </c>
      <c r="N127" s="145">
        <f>+G127*(D127-H127)</f>
        <v>2.31</v>
      </c>
      <c r="O127" s="145">
        <f>IF(D127&lt;=19,(D127-H127)*J127,(19-H127)*J127)</f>
        <v>0.45494817117272557</v>
      </c>
      <c r="P127" s="145">
        <f>IF(D127&lt;=19,0,(J127*(D127-19)*2)+((L127)*(D127-19)))</f>
        <v>0</v>
      </c>
      <c r="Q127" s="145">
        <f>+(5+G127+(2*(J127+L127)))*I127</f>
        <v>18.3633671229752</v>
      </c>
      <c r="R127" s="147">
        <f>SUM(N127:Q127)</f>
        <v>21.128315294147924</v>
      </c>
      <c r="S127" s="147"/>
      <c r="T127" s="128">
        <f>IF(D$6=1,(PI()*(C127-(2*D127)+(2*H127))*M127*0.1*0.01*7.85*0.001/(T$16*T$17)),0)</f>
        <v>0</v>
      </c>
      <c r="U127" s="128">
        <f>IF(D$6=1,(PI()*(C127-(0.5*D127))*(R127)*0.1*0.01*7.85*0.001/(U$16*U$17)),0)</f>
        <v>0</v>
      </c>
      <c r="V127" s="150">
        <f>IF(D$6=1,0,(PI()*(C127-(2*D127)+(2*H127))*M127*0.1*0.01*7.85*0.001/(V$16*V$17)))</f>
        <v>0.06462546685754664</v>
      </c>
      <c r="W127" s="150">
        <f>IF(D$6=1,0,(PI()*(C127-(0.5*D127))*(R127)*0.1*0.01*7.85*0.001/(W$16*W$17)))</f>
        <v>0.14019913423473387</v>
      </c>
      <c r="X127" s="150">
        <f t="shared" si="85"/>
        <v>0.2048246010922805</v>
      </c>
    </row>
    <row r="128" spans="1:24" ht="12.75">
      <c r="A128" s="141">
        <v>111</v>
      </c>
      <c r="B128" s="142">
        <v>5</v>
      </c>
      <c r="C128" s="143">
        <v>141.3</v>
      </c>
      <c r="D128" s="143">
        <v>3.4</v>
      </c>
      <c r="E128" s="144" t="s">
        <v>84</v>
      </c>
      <c r="F128" s="144">
        <f t="shared" si="84"/>
        <v>11.562791982762565</v>
      </c>
      <c r="G128" s="145">
        <f t="shared" si="1"/>
        <v>3</v>
      </c>
      <c r="H128" s="145">
        <f t="shared" si="125"/>
        <v>2</v>
      </c>
      <c r="I128" s="145">
        <f aca="true" t="shared" si="139" ref="I128:I137">IF(D128&lt;=19,2,3)</f>
        <v>2</v>
      </c>
      <c r="J128" s="146">
        <f aca="true" t="shared" si="140" ref="J128:J137">IF(D128&lt;=19,(D128-H128)*TAN($C$8*PI()/180),(19-H128)*TAN($C$8*PI()/180))</f>
        <v>1.0742577831705444</v>
      </c>
      <c r="K128" s="147"/>
      <c r="L128" s="145">
        <f aca="true" t="shared" si="141" ref="L128:L137">IF(D128&lt;=19,0,(D128-19)*TAN($C$10*PI()/180))</f>
        <v>0</v>
      </c>
      <c r="M128" s="145">
        <f aca="true" t="shared" si="142" ref="M128:M137">+G128*(H128*1.5)</f>
        <v>9</v>
      </c>
      <c r="N128" s="145">
        <f aca="true" t="shared" si="143" ref="N128:N137">+G128*(D128-H128)</f>
        <v>4.199999999999999</v>
      </c>
      <c r="O128" s="145">
        <f aca="true" t="shared" si="144" ref="O128:O137">IF(D128&lt;=19,(D128-H128)*J128,(19-H128)*J128)</f>
        <v>1.503960896438762</v>
      </c>
      <c r="P128" s="145">
        <f aca="true" t="shared" si="145" ref="P128:P137">IF(D128&lt;=19,0,(J128*(D128-19)*2)+((L128)*(D128-19)))</f>
        <v>0</v>
      </c>
      <c r="Q128" s="145">
        <f aca="true" t="shared" si="146" ref="Q128:Q137">+(5+G128+(2*(J128+L128)))*I128</f>
        <v>20.29703113268218</v>
      </c>
      <c r="R128" s="147">
        <f aca="true" t="shared" si="147" ref="R128:R137">SUM(N128:Q128)</f>
        <v>26.00099202912094</v>
      </c>
      <c r="S128" s="147"/>
      <c r="T128" s="128">
        <f aca="true" t="shared" si="148" ref="T128:T137">IF(D$6=1,(PI()*(C128-(2*D128)+(2*H128))*M128*0.1*0.01*7.85*0.001/(T$16*T$17)),0)</f>
        <v>0</v>
      </c>
      <c r="U128" s="128">
        <f aca="true" t="shared" si="149" ref="U128:U137">IF(D$6=1,(PI()*(C128-(0.5*D128))*(R128)*0.1*0.01*7.85*0.001/(U$16*U$17)),0)</f>
        <v>0</v>
      </c>
      <c r="V128" s="150">
        <f aca="true" t="shared" si="150" ref="V128:V137">IF(D$6=1,0,(PI()*(C128-(2*D128)+(2*H128))*M128*0.1*0.01*7.85*0.001/(V$16*V$17)))</f>
        <v>0.06404283886498431</v>
      </c>
      <c r="W128" s="150">
        <f aca="true" t="shared" si="151" ref="W128:W137">IF(D$6=1,0,(PI()*(C128-(0.5*D128))*(R128)*0.1*0.01*7.85*0.001/(W$16*W$17)))</f>
        <v>0.17214385416048317</v>
      </c>
      <c r="X128" s="150">
        <f t="shared" si="85"/>
        <v>0.23618669302546746</v>
      </c>
    </row>
    <row r="129" spans="1:24" ht="12.75">
      <c r="A129" s="141">
        <v>112</v>
      </c>
      <c r="B129" s="142">
        <v>5</v>
      </c>
      <c r="C129" s="143">
        <v>141.3</v>
      </c>
      <c r="D129" s="143">
        <v>6.55</v>
      </c>
      <c r="E129" s="144" t="s">
        <v>85</v>
      </c>
      <c r="F129" s="144">
        <f t="shared" si="84"/>
        <v>21.76655022583719</v>
      </c>
      <c r="G129" s="145">
        <f t="shared" si="1"/>
        <v>3</v>
      </c>
      <c r="H129" s="145">
        <f t="shared" si="125"/>
        <v>2</v>
      </c>
      <c r="I129" s="145">
        <f t="shared" si="139"/>
        <v>2</v>
      </c>
      <c r="J129" s="146">
        <f t="shared" si="140"/>
        <v>3.4913377953042697</v>
      </c>
      <c r="K129" s="147"/>
      <c r="L129" s="145">
        <f t="shared" si="141"/>
        <v>0</v>
      </c>
      <c r="M129" s="145">
        <f t="shared" si="142"/>
        <v>9</v>
      </c>
      <c r="N129" s="145">
        <f t="shared" si="143"/>
        <v>13.649999999999999</v>
      </c>
      <c r="O129" s="145">
        <f t="shared" si="144"/>
        <v>15.885586968634426</v>
      </c>
      <c r="P129" s="145">
        <f t="shared" si="145"/>
        <v>0</v>
      </c>
      <c r="Q129" s="145">
        <f t="shared" si="146"/>
        <v>29.96535118121708</v>
      </c>
      <c r="R129" s="147">
        <f t="shared" si="147"/>
        <v>59.50093814985151</v>
      </c>
      <c r="S129" s="147"/>
      <c r="T129" s="128">
        <f t="shared" si="148"/>
        <v>0</v>
      </c>
      <c r="U129" s="128">
        <f t="shared" si="149"/>
        <v>0</v>
      </c>
      <c r="V129" s="150">
        <f t="shared" si="150"/>
        <v>0.061129698902172756</v>
      </c>
      <c r="W129" s="150">
        <f t="shared" si="151"/>
        <v>0.3894912942189028</v>
      </c>
      <c r="X129" s="150">
        <f t="shared" si="85"/>
        <v>0.4506209931210755</v>
      </c>
    </row>
    <row r="130" spans="1:24" ht="12.75">
      <c r="A130" s="141">
        <v>113</v>
      </c>
      <c r="B130" s="142">
        <v>5</v>
      </c>
      <c r="C130" s="143">
        <v>141.3</v>
      </c>
      <c r="D130" s="143">
        <v>6.55</v>
      </c>
      <c r="E130" s="144" t="s">
        <v>86</v>
      </c>
      <c r="F130" s="144">
        <f t="shared" si="84"/>
        <v>21.76655022583719</v>
      </c>
      <c r="G130" s="145">
        <f t="shared" si="1"/>
        <v>3</v>
      </c>
      <c r="H130" s="145">
        <f t="shared" si="125"/>
        <v>2</v>
      </c>
      <c r="I130" s="145">
        <f t="shared" si="139"/>
        <v>2</v>
      </c>
      <c r="J130" s="146">
        <f t="shared" si="140"/>
        <v>3.4913377953042697</v>
      </c>
      <c r="K130" s="147"/>
      <c r="L130" s="145">
        <f t="shared" si="141"/>
        <v>0</v>
      </c>
      <c r="M130" s="145">
        <f t="shared" si="142"/>
        <v>9</v>
      </c>
      <c r="N130" s="145">
        <f t="shared" si="143"/>
        <v>13.649999999999999</v>
      </c>
      <c r="O130" s="145">
        <f t="shared" si="144"/>
        <v>15.885586968634426</v>
      </c>
      <c r="P130" s="145">
        <f t="shared" si="145"/>
        <v>0</v>
      </c>
      <c r="Q130" s="145">
        <f t="shared" si="146"/>
        <v>29.96535118121708</v>
      </c>
      <c r="R130" s="147">
        <f t="shared" si="147"/>
        <v>59.50093814985151</v>
      </c>
      <c r="S130" s="147"/>
      <c r="T130" s="128">
        <f t="shared" si="148"/>
        <v>0</v>
      </c>
      <c r="U130" s="128">
        <f t="shared" si="149"/>
        <v>0</v>
      </c>
      <c r="V130" s="150">
        <f t="shared" si="150"/>
        <v>0.061129698902172756</v>
      </c>
      <c r="W130" s="150">
        <f t="shared" si="151"/>
        <v>0.3894912942189028</v>
      </c>
      <c r="X130" s="150">
        <f t="shared" si="85"/>
        <v>0.4506209931210755</v>
      </c>
    </row>
    <row r="131" spans="1:24" ht="12.75">
      <c r="A131" s="141">
        <v>114</v>
      </c>
      <c r="B131" s="142">
        <v>5</v>
      </c>
      <c r="C131" s="143">
        <v>141.3</v>
      </c>
      <c r="D131" s="143">
        <v>6.55</v>
      </c>
      <c r="E131" s="144" t="s">
        <v>87</v>
      </c>
      <c r="F131" s="144">
        <f t="shared" si="84"/>
        <v>21.76655022583719</v>
      </c>
      <c r="G131" s="145">
        <f t="shared" si="1"/>
        <v>3</v>
      </c>
      <c r="H131" s="145">
        <f t="shared" si="125"/>
        <v>2</v>
      </c>
      <c r="I131" s="145">
        <f t="shared" si="139"/>
        <v>2</v>
      </c>
      <c r="J131" s="146">
        <f t="shared" si="140"/>
        <v>3.4913377953042697</v>
      </c>
      <c r="K131" s="147"/>
      <c r="L131" s="145">
        <f t="shared" si="141"/>
        <v>0</v>
      </c>
      <c r="M131" s="145">
        <f t="shared" si="142"/>
        <v>9</v>
      </c>
      <c r="N131" s="145">
        <f t="shared" si="143"/>
        <v>13.649999999999999</v>
      </c>
      <c r="O131" s="145">
        <f t="shared" si="144"/>
        <v>15.885586968634426</v>
      </c>
      <c r="P131" s="145">
        <f t="shared" si="145"/>
        <v>0</v>
      </c>
      <c r="Q131" s="145">
        <f t="shared" si="146"/>
        <v>29.96535118121708</v>
      </c>
      <c r="R131" s="147">
        <f t="shared" si="147"/>
        <v>59.50093814985151</v>
      </c>
      <c r="S131" s="147"/>
      <c r="T131" s="128">
        <f t="shared" si="148"/>
        <v>0</v>
      </c>
      <c r="U131" s="128">
        <f t="shared" si="149"/>
        <v>0</v>
      </c>
      <c r="V131" s="150">
        <f t="shared" si="150"/>
        <v>0.061129698902172756</v>
      </c>
      <c r="W131" s="150">
        <f t="shared" si="151"/>
        <v>0.3894912942189028</v>
      </c>
      <c r="X131" s="150">
        <f t="shared" si="85"/>
        <v>0.4506209931210755</v>
      </c>
    </row>
    <row r="132" spans="1:24" ht="12.75">
      <c r="A132" s="141">
        <v>115</v>
      </c>
      <c r="B132" s="142">
        <v>5</v>
      </c>
      <c r="C132" s="143">
        <v>141.3</v>
      </c>
      <c r="D132" s="143">
        <v>9.52</v>
      </c>
      <c r="E132" s="144" t="s">
        <v>88</v>
      </c>
      <c r="F132" s="144">
        <f t="shared" si="84"/>
        <v>30.938979238344178</v>
      </c>
      <c r="G132" s="145">
        <f t="shared" si="1"/>
        <v>3</v>
      </c>
      <c r="H132" s="145">
        <f t="shared" si="125"/>
        <v>2</v>
      </c>
      <c r="I132" s="145">
        <f t="shared" si="139"/>
        <v>2</v>
      </c>
      <c r="J132" s="146">
        <f t="shared" si="140"/>
        <v>5.770298949601782</v>
      </c>
      <c r="K132" s="147"/>
      <c r="L132" s="145">
        <f t="shared" si="141"/>
        <v>0</v>
      </c>
      <c r="M132" s="145">
        <f t="shared" si="142"/>
        <v>9</v>
      </c>
      <c r="N132" s="145">
        <f t="shared" si="143"/>
        <v>22.56</v>
      </c>
      <c r="O132" s="145">
        <f t="shared" si="144"/>
        <v>43.39264810100539</v>
      </c>
      <c r="P132" s="145">
        <f t="shared" si="145"/>
        <v>0</v>
      </c>
      <c r="Q132" s="145">
        <f t="shared" si="146"/>
        <v>39.08119579840712</v>
      </c>
      <c r="R132" s="147">
        <f t="shared" si="147"/>
        <v>105.03384389941252</v>
      </c>
      <c r="S132" s="147"/>
      <c r="T132" s="128">
        <f t="shared" si="148"/>
        <v>0</v>
      </c>
      <c r="U132" s="128">
        <f t="shared" si="149"/>
        <v>0</v>
      </c>
      <c r="V132" s="150">
        <f t="shared" si="150"/>
        <v>0.058383024080093285</v>
      </c>
      <c r="W132" s="150">
        <f t="shared" si="151"/>
        <v>0.6801510046184488</v>
      </c>
      <c r="X132" s="150">
        <f t="shared" si="85"/>
        <v>0.7385340286985421</v>
      </c>
    </row>
    <row r="133" spans="1:24" ht="12.75">
      <c r="A133" s="141">
        <v>116</v>
      </c>
      <c r="B133" s="142">
        <v>5</v>
      </c>
      <c r="C133" s="143">
        <v>141.3</v>
      </c>
      <c r="D133" s="143">
        <v>9.52</v>
      </c>
      <c r="E133" s="144" t="s">
        <v>82</v>
      </c>
      <c r="F133" s="144">
        <f t="shared" si="84"/>
        <v>30.938979238344178</v>
      </c>
      <c r="G133" s="145">
        <f t="shared" si="1"/>
        <v>3</v>
      </c>
      <c r="H133" s="145">
        <f t="shared" si="125"/>
        <v>2</v>
      </c>
      <c r="I133" s="145">
        <f t="shared" si="139"/>
        <v>2</v>
      </c>
      <c r="J133" s="146">
        <f t="shared" si="140"/>
        <v>5.770298949601782</v>
      </c>
      <c r="K133" s="147"/>
      <c r="L133" s="145">
        <f t="shared" si="141"/>
        <v>0</v>
      </c>
      <c r="M133" s="145">
        <f t="shared" si="142"/>
        <v>9</v>
      </c>
      <c r="N133" s="145">
        <f t="shared" si="143"/>
        <v>22.56</v>
      </c>
      <c r="O133" s="145">
        <f t="shared" si="144"/>
        <v>43.39264810100539</v>
      </c>
      <c r="P133" s="145">
        <f t="shared" si="145"/>
        <v>0</v>
      </c>
      <c r="Q133" s="145">
        <f t="shared" si="146"/>
        <v>39.08119579840712</v>
      </c>
      <c r="R133" s="147">
        <f t="shared" si="147"/>
        <v>105.03384389941252</v>
      </c>
      <c r="S133" s="147"/>
      <c r="T133" s="128">
        <f t="shared" si="148"/>
        <v>0</v>
      </c>
      <c r="U133" s="128">
        <f t="shared" si="149"/>
        <v>0</v>
      </c>
      <c r="V133" s="150">
        <f t="shared" si="150"/>
        <v>0.058383024080093285</v>
      </c>
      <c r="W133" s="150">
        <f t="shared" si="151"/>
        <v>0.6801510046184488</v>
      </c>
      <c r="X133" s="150">
        <f t="shared" si="85"/>
        <v>0.7385340286985421</v>
      </c>
    </row>
    <row r="134" spans="1:24" ht="12.75">
      <c r="A134" s="141">
        <v>117</v>
      </c>
      <c r="B134" s="142">
        <v>5</v>
      </c>
      <c r="C134" s="143">
        <v>141.3</v>
      </c>
      <c r="D134" s="143">
        <v>9.52</v>
      </c>
      <c r="E134" s="144" t="s">
        <v>89</v>
      </c>
      <c r="F134" s="144">
        <f t="shared" si="84"/>
        <v>30.938979238344178</v>
      </c>
      <c r="G134" s="145">
        <f t="shared" si="1"/>
        <v>3</v>
      </c>
      <c r="H134" s="145">
        <f t="shared" si="125"/>
        <v>2</v>
      </c>
      <c r="I134" s="145">
        <f t="shared" si="139"/>
        <v>2</v>
      </c>
      <c r="J134" s="146">
        <f t="shared" si="140"/>
        <v>5.770298949601782</v>
      </c>
      <c r="K134" s="147"/>
      <c r="L134" s="145">
        <f t="shared" si="141"/>
        <v>0</v>
      </c>
      <c r="M134" s="145">
        <f t="shared" si="142"/>
        <v>9</v>
      </c>
      <c r="N134" s="145">
        <f t="shared" si="143"/>
        <v>22.56</v>
      </c>
      <c r="O134" s="145">
        <f t="shared" si="144"/>
        <v>43.39264810100539</v>
      </c>
      <c r="P134" s="145">
        <f t="shared" si="145"/>
        <v>0</v>
      </c>
      <c r="Q134" s="145">
        <f t="shared" si="146"/>
        <v>39.08119579840712</v>
      </c>
      <c r="R134" s="147">
        <f t="shared" si="147"/>
        <v>105.03384389941252</v>
      </c>
      <c r="S134" s="147"/>
      <c r="T134" s="128">
        <f t="shared" si="148"/>
        <v>0</v>
      </c>
      <c r="U134" s="128">
        <f t="shared" si="149"/>
        <v>0</v>
      </c>
      <c r="V134" s="150">
        <f t="shared" si="150"/>
        <v>0.058383024080093285</v>
      </c>
      <c r="W134" s="150">
        <f t="shared" si="151"/>
        <v>0.6801510046184488</v>
      </c>
      <c r="X134" s="150">
        <f t="shared" si="85"/>
        <v>0.7385340286985421</v>
      </c>
    </row>
    <row r="135" spans="1:24" ht="12.75">
      <c r="A135" s="141">
        <v>118</v>
      </c>
      <c r="B135" s="142">
        <v>5</v>
      </c>
      <c r="C135" s="143">
        <v>141.3</v>
      </c>
      <c r="D135" s="143">
        <v>12.7</v>
      </c>
      <c r="E135" s="144" t="s">
        <v>91</v>
      </c>
      <c r="F135" s="144">
        <f t="shared" si="84"/>
        <v>40.27765883651299</v>
      </c>
      <c r="G135" s="145">
        <f t="shared" si="1"/>
        <v>3</v>
      </c>
      <c r="H135" s="145">
        <f t="shared" si="125"/>
        <v>2</v>
      </c>
      <c r="I135" s="145">
        <f t="shared" si="139"/>
        <v>2</v>
      </c>
      <c r="J135" s="146">
        <f t="shared" si="140"/>
        <v>8.210398771374875</v>
      </c>
      <c r="K135" s="147"/>
      <c r="L135" s="145">
        <f t="shared" si="141"/>
        <v>0</v>
      </c>
      <c r="M135" s="145">
        <f t="shared" si="142"/>
        <v>9</v>
      </c>
      <c r="N135" s="145">
        <f t="shared" si="143"/>
        <v>32.099999999999994</v>
      </c>
      <c r="O135" s="145">
        <f t="shared" si="144"/>
        <v>87.85126685371115</v>
      </c>
      <c r="P135" s="145">
        <f t="shared" si="145"/>
        <v>0</v>
      </c>
      <c r="Q135" s="145">
        <f t="shared" si="146"/>
        <v>48.8415950854995</v>
      </c>
      <c r="R135" s="147">
        <f t="shared" si="147"/>
        <v>168.79286193921064</v>
      </c>
      <c r="S135" s="147"/>
      <c r="T135" s="128">
        <f t="shared" si="148"/>
        <v>0</v>
      </c>
      <c r="U135" s="128">
        <f t="shared" si="149"/>
        <v>0</v>
      </c>
      <c r="V135" s="150">
        <f t="shared" si="150"/>
        <v>0.055442139927159705</v>
      </c>
      <c r="W135" s="150">
        <f t="shared" si="151"/>
        <v>1.0802969539764427</v>
      </c>
      <c r="X135" s="150">
        <f t="shared" si="85"/>
        <v>1.1357390939036023</v>
      </c>
    </row>
    <row r="136" spans="1:24" ht="12.75">
      <c r="A136" s="141">
        <v>119</v>
      </c>
      <c r="B136" s="142">
        <v>5</v>
      </c>
      <c r="C136" s="143">
        <v>141.3</v>
      </c>
      <c r="D136" s="143">
        <v>15.88</v>
      </c>
      <c r="E136" s="144" t="s">
        <v>90</v>
      </c>
      <c r="F136" s="144">
        <f t="shared" si="84"/>
        <v>49.117564482344264</v>
      </c>
      <c r="G136" s="145">
        <f t="shared" si="1"/>
        <v>3</v>
      </c>
      <c r="H136" s="145">
        <f t="shared" si="125"/>
        <v>2</v>
      </c>
      <c r="I136" s="145">
        <f t="shared" si="139"/>
        <v>2</v>
      </c>
      <c r="J136" s="146">
        <f t="shared" si="140"/>
        <v>10.65049859314797</v>
      </c>
      <c r="K136" s="147"/>
      <c r="L136" s="145">
        <f t="shared" si="141"/>
        <v>0</v>
      </c>
      <c r="M136" s="145">
        <f t="shared" si="142"/>
        <v>9</v>
      </c>
      <c r="N136" s="145">
        <f t="shared" si="143"/>
        <v>41.64</v>
      </c>
      <c r="O136" s="145">
        <f t="shared" si="144"/>
        <v>147.82892047289383</v>
      </c>
      <c r="P136" s="145">
        <f t="shared" si="145"/>
        <v>0</v>
      </c>
      <c r="Q136" s="145">
        <f t="shared" si="146"/>
        <v>58.60199437259188</v>
      </c>
      <c r="R136" s="147">
        <f t="shared" si="147"/>
        <v>248.07091484548573</v>
      </c>
      <c r="S136" s="147"/>
      <c r="T136" s="128">
        <f t="shared" si="148"/>
        <v>0</v>
      </c>
      <c r="U136" s="128">
        <f t="shared" si="149"/>
        <v>0</v>
      </c>
      <c r="V136" s="150">
        <f t="shared" si="150"/>
        <v>0.05250125577422613</v>
      </c>
      <c r="W136" s="150">
        <f t="shared" si="151"/>
        <v>1.568980770493529</v>
      </c>
      <c r="X136" s="150">
        <f t="shared" si="85"/>
        <v>1.6214820262677552</v>
      </c>
    </row>
    <row r="137" spans="1:24" ht="12.75">
      <c r="A137" s="141">
        <v>120</v>
      </c>
      <c r="B137" s="142">
        <v>5</v>
      </c>
      <c r="C137" s="143">
        <v>141.3</v>
      </c>
      <c r="D137" s="143">
        <v>19.051</v>
      </c>
      <c r="E137" s="144" t="s">
        <v>83</v>
      </c>
      <c r="F137" s="144">
        <f t="shared" si="84"/>
        <v>57.43579301396198</v>
      </c>
      <c r="G137" s="145">
        <f t="shared" si="1"/>
        <v>3</v>
      </c>
      <c r="H137" s="145">
        <f t="shared" si="125"/>
        <v>2</v>
      </c>
      <c r="I137" s="145">
        <f t="shared" si="139"/>
        <v>3</v>
      </c>
      <c r="J137" s="146">
        <f t="shared" si="140"/>
        <v>13.044558795642326</v>
      </c>
      <c r="K137" s="147"/>
      <c r="L137" s="145">
        <f t="shared" si="141"/>
        <v>0.008992676016131428</v>
      </c>
      <c r="M137" s="145">
        <f t="shared" si="142"/>
        <v>9</v>
      </c>
      <c r="N137" s="145">
        <f t="shared" si="143"/>
        <v>51.15299999999999</v>
      </c>
      <c r="O137" s="145">
        <f t="shared" si="144"/>
        <v>221.75749952591954</v>
      </c>
      <c r="P137" s="145">
        <f t="shared" si="145"/>
        <v>1.3310036236322977</v>
      </c>
      <c r="Q137" s="145">
        <f t="shared" si="146"/>
        <v>102.32130882995075</v>
      </c>
      <c r="R137" s="147">
        <f t="shared" si="147"/>
        <v>376.56281197950256</v>
      </c>
      <c r="S137" s="147"/>
      <c r="T137" s="128">
        <f t="shared" si="148"/>
        <v>0</v>
      </c>
      <c r="U137" s="128">
        <f t="shared" si="149"/>
        <v>0</v>
      </c>
      <c r="V137" s="150">
        <f t="shared" si="150"/>
        <v>0.049568694878329156</v>
      </c>
      <c r="W137" s="150">
        <f t="shared" si="151"/>
        <v>2.3533417047402354</v>
      </c>
      <c r="X137" s="150">
        <f t="shared" si="85"/>
        <v>2.4029103996185643</v>
      </c>
    </row>
    <row r="138" spans="1:24" ht="12.75">
      <c r="A138" s="141">
        <v>121</v>
      </c>
      <c r="B138" s="142"/>
      <c r="C138" s="143"/>
      <c r="D138" s="143"/>
      <c r="E138" s="144"/>
      <c r="F138" s="144">
        <f t="shared" si="84"/>
        <v>0</v>
      </c>
      <c r="G138" s="145"/>
      <c r="H138" s="145">
        <f t="shared" si="125"/>
        <v>0</v>
      </c>
      <c r="I138" s="145"/>
      <c r="J138" s="146"/>
      <c r="K138" s="147"/>
      <c r="L138" s="145"/>
      <c r="M138" s="145"/>
      <c r="N138" s="145"/>
      <c r="O138" s="145"/>
      <c r="P138" s="145"/>
      <c r="Q138" s="145"/>
      <c r="R138" s="147"/>
      <c r="S138" s="147"/>
      <c r="T138" s="128"/>
      <c r="U138" s="128"/>
      <c r="V138" s="150"/>
      <c r="W138" s="150"/>
      <c r="X138" s="150">
        <f t="shared" si="85"/>
        <v>0</v>
      </c>
    </row>
    <row r="139" spans="1:24" ht="12.75">
      <c r="A139" s="141">
        <v>122</v>
      </c>
      <c r="B139" s="142">
        <v>6</v>
      </c>
      <c r="C139" s="143">
        <v>168.3</v>
      </c>
      <c r="D139" s="143">
        <v>2.77</v>
      </c>
      <c r="E139" s="144" t="s">
        <v>81</v>
      </c>
      <c r="F139" s="144">
        <f t="shared" si="84"/>
        <v>11.307745191808909</v>
      </c>
      <c r="G139" s="145">
        <f t="shared" si="1"/>
        <v>3</v>
      </c>
      <c r="H139" s="145">
        <f t="shared" si="125"/>
        <v>2</v>
      </c>
      <c r="I139" s="145">
        <f>IF(D139&lt;=19,2,3)</f>
        <v>2</v>
      </c>
      <c r="J139" s="146">
        <f>IF(D139&lt;=19,(D139-H139)*TAN($C$8*PI()/180),(19-H139)*TAN($C$8*PI()/180))</f>
        <v>0.5908417807437994</v>
      </c>
      <c r="K139" s="147"/>
      <c r="L139" s="145">
        <f>IF(D139&lt;=19,0,(D139-19)*TAN($C$10*PI()/180))</f>
        <v>0</v>
      </c>
      <c r="M139" s="145">
        <f>+G139*(H139*1.5)</f>
        <v>9</v>
      </c>
      <c r="N139" s="145">
        <f>+G139*(D139-H139)</f>
        <v>2.31</v>
      </c>
      <c r="O139" s="145">
        <f>IF(D139&lt;=19,(D139-H139)*J139,(19-H139)*J139)</f>
        <v>0.45494817117272557</v>
      </c>
      <c r="P139" s="145">
        <f>IF(D139&lt;=19,0,(J139*(D139-19)*2)+((L139)*(D139-19)))</f>
        <v>0</v>
      </c>
      <c r="Q139" s="145">
        <f>+(5+G139+(2*(J139+L139)))*I139</f>
        <v>18.3633671229752</v>
      </c>
      <c r="R139" s="147">
        <f>SUM(N139:Q139)</f>
        <v>21.128315294147924</v>
      </c>
      <c r="S139" s="147"/>
      <c r="T139" s="128">
        <f>IF(D$6=1,(PI()*(C139-(2*D139)+(2*H139))*M139*0.1*0.01*7.85*0.001/(T$16*T$17)),0)</f>
        <v>0</v>
      </c>
      <c r="U139" s="128">
        <f>IF(D$6=1,(PI()*(C139-(0.5*D139))*(R139)*0.1*0.01*7.85*0.001/(U$16*U$17)),0)</f>
        <v>0</v>
      </c>
      <c r="V139" s="150">
        <f>IF(D$6=1,0,(PI()*(C139-(2*D139)+(2*H139))*M139*0.1*0.01*7.85*0.001/(V$16*V$17)))</f>
        <v>0.07711035241245334</v>
      </c>
      <c r="W139" s="150">
        <f>IF(D$6=1,0,(PI()*(C139-(0.5*D139))*(R139)*0.1*0.01*7.85*0.001/(W$16*W$17)))</f>
        <v>0.1672539648414438</v>
      </c>
      <c r="X139" s="150">
        <f t="shared" si="85"/>
        <v>0.24436431725389715</v>
      </c>
    </row>
    <row r="140" spans="1:24" ht="12.75">
      <c r="A140" s="141">
        <v>123</v>
      </c>
      <c r="B140" s="142">
        <v>6</v>
      </c>
      <c r="C140" s="143">
        <v>168.3</v>
      </c>
      <c r="D140" s="143">
        <v>3.4</v>
      </c>
      <c r="E140" s="144" t="s">
        <v>84</v>
      </c>
      <c r="F140" s="144">
        <f t="shared" si="84"/>
        <v>13.826717896718979</v>
      </c>
      <c r="G140" s="145">
        <f t="shared" si="1"/>
        <v>3</v>
      </c>
      <c r="H140" s="145">
        <f t="shared" si="125"/>
        <v>2</v>
      </c>
      <c r="I140" s="145">
        <f aca="true" t="shared" si="152" ref="I140:I149">IF(D140&lt;=19,2,3)</f>
        <v>2</v>
      </c>
      <c r="J140" s="146">
        <f aca="true" t="shared" si="153" ref="J140:J149">IF(D140&lt;=19,(D140-H140)*TAN($C$8*PI()/180),(19-H140)*TAN($C$8*PI()/180))</f>
        <v>1.0742577831705444</v>
      </c>
      <c r="K140" s="147"/>
      <c r="L140" s="145">
        <f aca="true" t="shared" si="154" ref="L140:L149">IF(D140&lt;=19,0,(D140-19)*TAN($C$10*PI()/180))</f>
        <v>0</v>
      </c>
      <c r="M140" s="145">
        <f aca="true" t="shared" si="155" ref="M140:M149">+G140*(H140*1.5)</f>
        <v>9</v>
      </c>
      <c r="N140" s="145">
        <f aca="true" t="shared" si="156" ref="N140:N149">+G140*(D140-H140)</f>
        <v>4.199999999999999</v>
      </c>
      <c r="O140" s="145">
        <f aca="true" t="shared" si="157" ref="O140:O149">IF(D140&lt;=19,(D140-H140)*J140,(19-H140)*J140)</f>
        <v>1.503960896438762</v>
      </c>
      <c r="P140" s="145">
        <f aca="true" t="shared" si="158" ref="P140:P149">IF(D140&lt;=19,0,(J140*(D140-19)*2)+((L140)*(D140-19)))</f>
        <v>0</v>
      </c>
      <c r="Q140" s="145">
        <f aca="true" t="shared" si="159" ref="Q140:Q149">+(5+G140+(2*(J140+L140)))*I140</f>
        <v>20.29703113268218</v>
      </c>
      <c r="R140" s="147">
        <f aca="true" t="shared" si="160" ref="R140:R149">SUM(N140:Q140)</f>
        <v>26.00099202912094</v>
      </c>
      <c r="S140" s="147"/>
      <c r="T140" s="128">
        <f aca="true" t="shared" si="161" ref="T140:T149">IF(D$6=1,(PI()*(C140-(2*D140)+(2*H140))*M140*0.1*0.01*7.85*0.001/(T$16*T$17)),0)</f>
        <v>0</v>
      </c>
      <c r="U140" s="128">
        <f aca="true" t="shared" si="162" ref="U140:U149">IF(D$6=1,(PI()*(C140-(0.5*D140))*(R140)*0.1*0.01*7.85*0.001/(U$16*U$17)),0)</f>
        <v>0</v>
      </c>
      <c r="V140" s="150">
        <f aca="true" t="shared" si="163" ref="V140:V149">IF(D$6=1,0,(PI()*(C140-(2*D140)+(2*H140))*M140*0.1*0.01*7.85*0.001/(V$16*V$17)))</f>
        <v>0.07652772441989099</v>
      </c>
      <c r="W140" s="150">
        <f aca="true" t="shared" si="164" ref="W140:W149">IF(D$6=1,0,(PI()*(C140-(0.5*D140))*(R140)*0.1*0.01*7.85*0.001/(W$16*W$17)))</f>
        <v>0.20543815260126427</v>
      </c>
      <c r="X140" s="150">
        <f t="shared" si="85"/>
        <v>0.2819658770211553</v>
      </c>
    </row>
    <row r="141" spans="1:24" ht="12.75">
      <c r="A141" s="141">
        <v>124</v>
      </c>
      <c r="B141" s="142">
        <v>6</v>
      </c>
      <c r="C141" s="143">
        <v>168.3</v>
      </c>
      <c r="D141" s="143">
        <v>7.11</v>
      </c>
      <c r="E141" s="144" t="s">
        <v>85</v>
      </c>
      <c r="F141" s="144">
        <f t="shared" si="84"/>
        <v>28.26358355645107</v>
      </c>
      <c r="G141" s="145">
        <f t="shared" si="1"/>
        <v>3</v>
      </c>
      <c r="H141" s="145">
        <f t="shared" si="125"/>
        <v>2</v>
      </c>
      <c r="I141" s="145">
        <f t="shared" si="152"/>
        <v>2</v>
      </c>
      <c r="J141" s="146">
        <f t="shared" si="153"/>
        <v>3.9210409085724875</v>
      </c>
      <c r="K141" s="147"/>
      <c r="L141" s="145">
        <f t="shared" si="154"/>
        <v>0</v>
      </c>
      <c r="M141" s="145">
        <f t="shared" si="155"/>
        <v>9</v>
      </c>
      <c r="N141" s="145">
        <f t="shared" si="156"/>
        <v>15.330000000000002</v>
      </c>
      <c r="O141" s="145">
        <f t="shared" si="157"/>
        <v>20.036519042805413</v>
      </c>
      <c r="P141" s="145">
        <f t="shared" si="158"/>
        <v>0</v>
      </c>
      <c r="Q141" s="145">
        <f t="shared" si="159"/>
        <v>31.684163634289952</v>
      </c>
      <c r="R141" s="147">
        <f t="shared" si="160"/>
        <v>67.05068267709537</v>
      </c>
      <c r="S141" s="147"/>
      <c r="T141" s="128">
        <f t="shared" si="161"/>
        <v>0</v>
      </c>
      <c r="U141" s="128">
        <f t="shared" si="162"/>
        <v>0</v>
      </c>
      <c r="V141" s="150">
        <f t="shared" si="163"/>
        <v>0.07309669290813517</v>
      </c>
      <c r="W141" s="150">
        <f t="shared" si="164"/>
        <v>0.5238797751525738</v>
      </c>
      <c r="X141" s="150">
        <f t="shared" si="85"/>
        <v>0.5969764680607089</v>
      </c>
    </row>
    <row r="142" spans="1:24" ht="12.75">
      <c r="A142" s="141">
        <v>125</v>
      </c>
      <c r="B142" s="142">
        <v>6</v>
      </c>
      <c r="C142" s="143">
        <v>168.3</v>
      </c>
      <c r="D142" s="143">
        <v>7.11</v>
      </c>
      <c r="E142" s="144" t="s">
        <v>86</v>
      </c>
      <c r="F142" s="144">
        <f t="shared" si="84"/>
        <v>28.26358355645107</v>
      </c>
      <c r="G142" s="145">
        <f t="shared" si="1"/>
        <v>3</v>
      </c>
      <c r="H142" s="145">
        <f t="shared" si="125"/>
        <v>2</v>
      </c>
      <c r="I142" s="145">
        <f t="shared" si="152"/>
        <v>2</v>
      </c>
      <c r="J142" s="146">
        <f t="shared" si="153"/>
        <v>3.9210409085724875</v>
      </c>
      <c r="K142" s="147"/>
      <c r="L142" s="145">
        <f t="shared" si="154"/>
        <v>0</v>
      </c>
      <c r="M142" s="145">
        <f t="shared" si="155"/>
        <v>9</v>
      </c>
      <c r="N142" s="145">
        <f t="shared" si="156"/>
        <v>15.330000000000002</v>
      </c>
      <c r="O142" s="145">
        <f t="shared" si="157"/>
        <v>20.036519042805413</v>
      </c>
      <c r="P142" s="145">
        <f t="shared" si="158"/>
        <v>0</v>
      </c>
      <c r="Q142" s="145">
        <f t="shared" si="159"/>
        <v>31.684163634289952</v>
      </c>
      <c r="R142" s="147">
        <f t="shared" si="160"/>
        <v>67.05068267709537</v>
      </c>
      <c r="S142" s="147"/>
      <c r="T142" s="128">
        <f t="shared" si="161"/>
        <v>0</v>
      </c>
      <c r="U142" s="128">
        <f t="shared" si="162"/>
        <v>0</v>
      </c>
      <c r="V142" s="150">
        <f t="shared" si="163"/>
        <v>0.07309669290813517</v>
      </c>
      <c r="W142" s="150">
        <f t="shared" si="164"/>
        <v>0.5238797751525738</v>
      </c>
      <c r="X142" s="150">
        <f t="shared" si="85"/>
        <v>0.5969764680607089</v>
      </c>
    </row>
    <row r="143" spans="1:24" ht="12.75">
      <c r="A143" s="141">
        <v>126</v>
      </c>
      <c r="B143" s="142">
        <v>6</v>
      </c>
      <c r="C143" s="143">
        <v>168.3</v>
      </c>
      <c r="D143" s="143">
        <v>7.11</v>
      </c>
      <c r="E143" s="144" t="s">
        <v>87</v>
      </c>
      <c r="F143" s="144">
        <f t="shared" si="84"/>
        <v>28.26358355645107</v>
      </c>
      <c r="G143" s="145">
        <f t="shared" si="1"/>
        <v>3</v>
      </c>
      <c r="H143" s="145">
        <f t="shared" si="125"/>
        <v>2</v>
      </c>
      <c r="I143" s="145">
        <f t="shared" si="152"/>
        <v>2</v>
      </c>
      <c r="J143" s="146">
        <f t="shared" si="153"/>
        <v>3.9210409085724875</v>
      </c>
      <c r="K143" s="147"/>
      <c r="L143" s="145">
        <f t="shared" si="154"/>
        <v>0</v>
      </c>
      <c r="M143" s="145">
        <f t="shared" si="155"/>
        <v>9</v>
      </c>
      <c r="N143" s="145">
        <f t="shared" si="156"/>
        <v>15.330000000000002</v>
      </c>
      <c r="O143" s="145">
        <f t="shared" si="157"/>
        <v>20.036519042805413</v>
      </c>
      <c r="P143" s="145">
        <f t="shared" si="158"/>
        <v>0</v>
      </c>
      <c r="Q143" s="145">
        <f t="shared" si="159"/>
        <v>31.684163634289952</v>
      </c>
      <c r="R143" s="147">
        <f t="shared" si="160"/>
        <v>67.05068267709537</v>
      </c>
      <c r="S143" s="147"/>
      <c r="T143" s="128">
        <f t="shared" si="161"/>
        <v>0</v>
      </c>
      <c r="U143" s="128">
        <f t="shared" si="162"/>
        <v>0</v>
      </c>
      <c r="V143" s="150">
        <f t="shared" si="163"/>
        <v>0.07309669290813517</v>
      </c>
      <c r="W143" s="150">
        <f t="shared" si="164"/>
        <v>0.5238797751525738</v>
      </c>
      <c r="X143" s="150">
        <f t="shared" si="85"/>
        <v>0.5969764680607089</v>
      </c>
    </row>
    <row r="144" spans="1:24" ht="12.75">
      <c r="A144" s="141">
        <v>127</v>
      </c>
      <c r="B144" s="142">
        <v>6</v>
      </c>
      <c r="C144" s="143">
        <v>168.3</v>
      </c>
      <c r="D144" s="143">
        <v>10.97</v>
      </c>
      <c r="E144" s="144" t="s">
        <v>88</v>
      </c>
      <c r="F144" s="144">
        <f t="shared" si="84"/>
        <v>42.563535953693936</v>
      </c>
      <c r="G144" s="145">
        <f t="shared" si="1"/>
        <v>3</v>
      </c>
      <c r="H144" s="145">
        <f t="shared" si="125"/>
        <v>2</v>
      </c>
      <c r="I144" s="145">
        <f t="shared" si="152"/>
        <v>2</v>
      </c>
      <c r="J144" s="146">
        <f t="shared" si="153"/>
        <v>6.882923082171275</v>
      </c>
      <c r="K144" s="147"/>
      <c r="L144" s="145">
        <f t="shared" si="154"/>
        <v>0</v>
      </c>
      <c r="M144" s="145">
        <f t="shared" si="155"/>
        <v>9</v>
      </c>
      <c r="N144" s="145">
        <f t="shared" si="156"/>
        <v>26.910000000000004</v>
      </c>
      <c r="O144" s="145">
        <f t="shared" si="157"/>
        <v>61.73982004707634</v>
      </c>
      <c r="P144" s="145">
        <f t="shared" si="158"/>
        <v>0</v>
      </c>
      <c r="Q144" s="145">
        <f t="shared" si="159"/>
        <v>43.5316923286851</v>
      </c>
      <c r="R144" s="147">
        <f t="shared" si="160"/>
        <v>132.18151237576143</v>
      </c>
      <c r="S144" s="147"/>
      <c r="T144" s="128">
        <f t="shared" si="161"/>
        <v>0</v>
      </c>
      <c r="U144" s="128">
        <f t="shared" si="162"/>
        <v>0</v>
      </c>
      <c r="V144" s="150">
        <f t="shared" si="163"/>
        <v>0.06952694044576926</v>
      </c>
      <c r="W144" s="150">
        <f t="shared" si="164"/>
        <v>1.020660519415445</v>
      </c>
      <c r="X144" s="150">
        <f t="shared" si="85"/>
        <v>1.0901874598612142</v>
      </c>
    </row>
    <row r="145" spans="1:24" ht="12.75">
      <c r="A145" s="141">
        <v>128</v>
      </c>
      <c r="B145" s="142">
        <v>6</v>
      </c>
      <c r="C145" s="143">
        <v>168.3</v>
      </c>
      <c r="D145" s="143">
        <v>10.97</v>
      </c>
      <c r="E145" s="144" t="s">
        <v>82</v>
      </c>
      <c r="F145" s="144">
        <f t="shared" si="84"/>
        <v>42.563535953693936</v>
      </c>
      <c r="G145" s="145">
        <f t="shared" si="1"/>
        <v>3</v>
      </c>
      <c r="H145" s="145">
        <f t="shared" si="125"/>
        <v>2</v>
      </c>
      <c r="I145" s="145">
        <f t="shared" si="152"/>
        <v>2</v>
      </c>
      <c r="J145" s="146">
        <f t="shared" si="153"/>
        <v>6.882923082171275</v>
      </c>
      <c r="K145" s="147"/>
      <c r="L145" s="145">
        <f t="shared" si="154"/>
        <v>0</v>
      </c>
      <c r="M145" s="145">
        <f t="shared" si="155"/>
        <v>9</v>
      </c>
      <c r="N145" s="145">
        <f t="shared" si="156"/>
        <v>26.910000000000004</v>
      </c>
      <c r="O145" s="145">
        <f t="shared" si="157"/>
        <v>61.73982004707634</v>
      </c>
      <c r="P145" s="145">
        <f t="shared" si="158"/>
        <v>0</v>
      </c>
      <c r="Q145" s="145">
        <f t="shared" si="159"/>
        <v>43.5316923286851</v>
      </c>
      <c r="R145" s="147">
        <f t="shared" si="160"/>
        <v>132.18151237576143</v>
      </c>
      <c r="S145" s="147"/>
      <c r="T145" s="128">
        <f t="shared" si="161"/>
        <v>0</v>
      </c>
      <c r="U145" s="128">
        <f t="shared" si="162"/>
        <v>0</v>
      </c>
      <c r="V145" s="150">
        <f t="shared" si="163"/>
        <v>0.06952694044576926</v>
      </c>
      <c r="W145" s="150">
        <f t="shared" si="164"/>
        <v>1.020660519415445</v>
      </c>
      <c r="X145" s="150">
        <f t="shared" si="85"/>
        <v>1.0901874598612142</v>
      </c>
    </row>
    <row r="146" spans="1:24" ht="12.75">
      <c r="A146" s="141">
        <v>129</v>
      </c>
      <c r="B146" s="142">
        <v>6</v>
      </c>
      <c r="C146" s="143">
        <v>168.3</v>
      </c>
      <c r="D146" s="143">
        <v>10.97</v>
      </c>
      <c r="E146" s="144" t="s">
        <v>89</v>
      </c>
      <c r="F146" s="144">
        <f t="shared" si="84"/>
        <v>42.563535953693936</v>
      </c>
      <c r="G146" s="145">
        <f t="shared" si="1"/>
        <v>3</v>
      </c>
      <c r="H146" s="145">
        <f t="shared" si="125"/>
        <v>2</v>
      </c>
      <c r="I146" s="145">
        <f t="shared" si="152"/>
        <v>2</v>
      </c>
      <c r="J146" s="146">
        <f t="shared" si="153"/>
        <v>6.882923082171275</v>
      </c>
      <c r="K146" s="147"/>
      <c r="L146" s="145">
        <f t="shared" si="154"/>
        <v>0</v>
      </c>
      <c r="M146" s="145">
        <f t="shared" si="155"/>
        <v>9</v>
      </c>
      <c r="N146" s="145">
        <f t="shared" si="156"/>
        <v>26.910000000000004</v>
      </c>
      <c r="O146" s="145">
        <f t="shared" si="157"/>
        <v>61.73982004707634</v>
      </c>
      <c r="P146" s="145">
        <f t="shared" si="158"/>
        <v>0</v>
      </c>
      <c r="Q146" s="145">
        <f t="shared" si="159"/>
        <v>43.5316923286851</v>
      </c>
      <c r="R146" s="147">
        <f t="shared" si="160"/>
        <v>132.18151237576143</v>
      </c>
      <c r="S146" s="147"/>
      <c r="T146" s="128">
        <f t="shared" si="161"/>
        <v>0</v>
      </c>
      <c r="U146" s="128">
        <f t="shared" si="162"/>
        <v>0</v>
      </c>
      <c r="V146" s="150">
        <f t="shared" si="163"/>
        <v>0.06952694044576926</v>
      </c>
      <c r="W146" s="150">
        <f t="shared" si="164"/>
        <v>1.020660519415445</v>
      </c>
      <c r="X146" s="150">
        <f t="shared" si="85"/>
        <v>1.0901874598612142</v>
      </c>
    </row>
    <row r="147" spans="1:24" ht="12.75">
      <c r="A147" s="141">
        <v>130</v>
      </c>
      <c r="B147" s="142">
        <v>6</v>
      </c>
      <c r="C147" s="143">
        <v>168.3</v>
      </c>
      <c r="D147" s="143">
        <v>14.27</v>
      </c>
      <c r="E147" s="144" t="s">
        <v>91</v>
      </c>
      <c r="F147" s="144">
        <f aca="true" t="shared" si="165" ref="F147:F210">+PI()*D147*(C147-D147)*0.00785</f>
        <v>54.206181881003246</v>
      </c>
      <c r="G147" s="145">
        <f t="shared" si="1"/>
        <v>3</v>
      </c>
      <c r="H147" s="145">
        <f t="shared" si="125"/>
        <v>2</v>
      </c>
      <c r="I147" s="145">
        <f t="shared" si="152"/>
        <v>2</v>
      </c>
      <c r="J147" s="146">
        <f t="shared" si="153"/>
        <v>9.415102142501844</v>
      </c>
      <c r="K147" s="147"/>
      <c r="L147" s="145">
        <f t="shared" si="154"/>
        <v>0</v>
      </c>
      <c r="M147" s="145">
        <f t="shared" si="155"/>
        <v>9</v>
      </c>
      <c r="N147" s="145">
        <f t="shared" si="156"/>
        <v>36.81</v>
      </c>
      <c r="O147" s="145">
        <f t="shared" si="157"/>
        <v>115.52330328849763</v>
      </c>
      <c r="P147" s="145">
        <f t="shared" si="158"/>
        <v>0</v>
      </c>
      <c r="Q147" s="145">
        <f t="shared" si="159"/>
        <v>53.66040857000738</v>
      </c>
      <c r="R147" s="147">
        <f t="shared" si="160"/>
        <v>205.993711858505</v>
      </c>
      <c r="S147" s="147"/>
      <c r="T147" s="128">
        <f t="shared" si="161"/>
        <v>0</v>
      </c>
      <c r="U147" s="128">
        <f t="shared" si="162"/>
        <v>0</v>
      </c>
      <c r="V147" s="150">
        <f t="shared" si="163"/>
        <v>0.06647507953234762</v>
      </c>
      <c r="W147" s="150">
        <f t="shared" si="164"/>
        <v>1.5744935348049487</v>
      </c>
      <c r="X147" s="150">
        <f aca="true" t="shared" si="166" ref="X147:X210">SUM(V147:W147)</f>
        <v>1.6409686143372963</v>
      </c>
    </row>
    <row r="148" spans="1:24" ht="12.75">
      <c r="A148" s="141">
        <v>131</v>
      </c>
      <c r="B148" s="142">
        <v>6</v>
      </c>
      <c r="C148" s="143">
        <v>168.3</v>
      </c>
      <c r="D148" s="143">
        <v>18.26</v>
      </c>
      <c r="E148" s="144" t="s">
        <v>90</v>
      </c>
      <c r="F148" s="144">
        <f t="shared" si="165"/>
        <v>67.56586764503453</v>
      </c>
      <c r="G148" s="145">
        <f t="shared" si="1"/>
        <v>3</v>
      </c>
      <c r="H148" s="145">
        <f aca="true" t="shared" si="167" ref="H148:H206">IF(D148&lt;2,D148,2)</f>
        <v>2</v>
      </c>
      <c r="I148" s="145">
        <f t="shared" si="152"/>
        <v>2</v>
      </c>
      <c r="J148" s="146">
        <f t="shared" si="153"/>
        <v>12.476736824537896</v>
      </c>
      <c r="K148" s="147"/>
      <c r="L148" s="145">
        <f t="shared" si="154"/>
        <v>0</v>
      </c>
      <c r="M148" s="145">
        <f t="shared" si="155"/>
        <v>9</v>
      </c>
      <c r="N148" s="145">
        <f t="shared" si="156"/>
        <v>48.78</v>
      </c>
      <c r="O148" s="145">
        <f t="shared" si="157"/>
        <v>202.87174076698622</v>
      </c>
      <c r="P148" s="145">
        <f t="shared" si="158"/>
        <v>0</v>
      </c>
      <c r="Q148" s="145">
        <f t="shared" si="159"/>
        <v>65.90694729815158</v>
      </c>
      <c r="R148" s="147">
        <f t="shared" si="160"/>
        <v>317.5586880651378</v>
      </c>
      <c r="S148" s="147"/>
      <c r="T148" s="128">
        <f t="shared" si="161"/>
        <v>0</v>
      </c>
      <c r="U148" s="128">
        <f t="shared" si="162"/>
        <v>0</v>
      </c>
      <c r="V148" s="150">
        <f t="shared" si="163"/>
        <v>0.06278510224611965</v>
      </c>
      <c r="W148" s="150">
        <f t="shared" si="164"/>
        <v>2.397184170086373</v>
      </c>
      <c r="X148" s="150">
        <f t="shared" si="166"/>
        <v>2.4599692723324926</v>
      </c>
    </row>
    <row r="149" spans="1:24" ht="12.75">
      <c r="A149" s="141">
        <v>132</v>
      </c>
      <c r="B149" s="142">
        <v>6</v>
      </c>
      <c r="C149" s="143">
        <v>168.3</v>
      </c>
      <c r="D149" s="143">
        <v>21.95</v>
      </c>
      <c r="E149" s="144" t="s">
        <v>83</v>
      </c>
      <c r="F149" s="144">
        <f t="shared" si="165"/>
        <v>79.22217851078526</v>
      </c>
      <c r="G149" s="145">
        <f t="shared" si="1"/>
        <v>3</v>
      </c>
      <c r="H149" s="145">
        <f t="shared" si="167"/>
        <v>2</v>
      </c>
      <c r="I149" s="145">
        <f t="shared" si="152"/>
        <v>3</v>
      </c>
      <c r="J149" s="146">
        <f t="shared" si="153"/>
        <v>13.044558795642326</v>
      </c>
      <c r="K149" s="147"/>
      <c r="L149" s="145">
        <f t="shared" si="154"/>
        <v>0.5201645930899715</v>
      </c>
      <c r="M149" s="145">
        <f t="shared" si="155"/>
        <v>9</v>
      </c>
      <c r="N149" s="145">
        <f t="shared" si="156"/>
        <v>59.849999999999994</v>
      </c>
      <c r="O149" s="145">
        <f t="shared" si="157"/>
        <v>221.75749952591954</v>
      </c>
      <c r="P149" s="145">
        <f t="shared" si="158"/>
        <v>78.49738244390511</v>
      </c>
      <c r="Q149" s="145">
        <f t="shared" si="159"/>
        <v>105.38834033239378</v>
      </c>
      <c r="R149" s="147">
        <f t="shared" si="160"/>
        <v>465.49322230221844</v>
      </c>
      <c r="S149" s="147"/>
      <c r="T149" s="128">
        <f t="shared" si="161"/>
        <v>0</v>
      </c>
      <c r="U149" s="128">
        <f t="shared" si="162"/>
        <v>0</v>
      </c>
      <c r="V149" s="150">
        <f t="shared" si="163"/>
        <v>0.059372566861111795</v>
      </c>
      <c r="W149" s="150">
        <f t="shared" si="164"/>
        <v>3.4731799731269515</v>
      </c>
      <c r="X149" s="150">
        <f t="shared" si="166"/>
        <v>3.532552539988063</v>
      </c>
    </row>
    <row r="150" spans="1:24" ht="12.75">
      <c r="A150" s="141">
        <v>133</v>
      </c>
      <c r="B150" s="142"/>
      <c r="C150" s="143"/>
      <c r="D150" s="143"/>
      <c r="E150" s="144"/>
      <c r="F150" s="144">
        <f t="shared" si="165"/>
        <v>0</v>
      </c>
      <c r="G150" s="145"/>
      <c r="H150" s="145">
        <f t="shared" si="167"/>
        <v>0</v>
      </c>
      <c r="I150" s="145"/>
      <c r="J150" s="146"/>
      <c r="K150" s="147"/>
      <c r="L150" s="145"/>
      <c r="M150" s="145"/>
      <c r="N150" s="145"/>
      <c r="O150" s="145"/>
      <c r="P150" s="145"/>
      <c r="Q150" s="145"/>
      <c r="R150" s="147"/>
      <c r="S150" s="147"/>
      <c r="T150" s="128"/>
      <c r="U150" s="128"/>
      <c r="V150" s="150"/>
      <c r="W150" s="150"/>
      <c r="X150" s="150">
        <f t="shared" si="166"/>
        <v>0</v>
      </c>
    </row>
    <row r="151" spans="1:24" ht="12.75">
      <c r="A151" s="141">
        <v>134</v>
      </c>
      <c r="B151" s="142">
        <v>8</v>
      </c>
      <c r="C151" s="143">
        <v>219.1</v>
      </c>
      <c r="D151" s="143">
        <v>2.77</v>
      </c>
      <c r="E151" s="144" t="s">
        <v>81</v>
      </c>
      <c r="F151" s="144">
        <f t="shared" si="165"/>
        <v>14.778013153772855</v>
      </c>
      <c r="G151" s="145">
        <f t="shared" si="1"/>
        <v>3</v>
      </c>
      <c r="H151" s="145">
        <f t="shared" si="167"/>
        <v>2</v>
      </c>
      <c r="I151" s="145">
        <f>IF(D151&lt;=19,2,3)</f>
        <v>2</v>
      </c>
      <c r="J151" s="146">
        <f>IF(D151&lt;=19,(D151-H151)*TAN($C$8*PI()/180),(19-H151)*TAN($C$8*PI()/180))</f>
        <v>0.5908417807437994</v>
      </c>
      <c r="K151" s="147"/>
      <c r="L151" s="145">
        <f>IF(D151&lt;=19,0,(D151-19)*TAN($C$10*PI()/180))</f>
        <v>0</v>
      </c>
      <c r="M151" s="145">
        <f>+G151*(H151*1.5)</f>
        <v>9</v>
      </c>
      <c r="N151" s="145">
        <f>+G151*(D151-H151)</f>
        <v>2.31</v>
      </c>
      <c r="O151" s="145">
        <f>IF(D151&lt;=19,(D151-H151)*J151,(19-H151)*J151)</f>
        <v>0.45494817117272557</v>
      </c>
      <c r="P151" s="145">
        <f>IF(D151&lt;=19,0,(J151*(D151-19)*2)+((L151)*(D151-19)))</f>
        <v>0</v>
      </c>
      <c r="Q151" s="145">
        <f>+(5+G151+(2*(J151+L151)))*I151</f>
        <v>18.3633671229752</v>
      </c>
      <c r="R151" s="147">
        <f>SUM(N151:Q151)</f>
        <v>21.128315294147924</v>
      </c>
      <c r="S151" s="147"/>
      <c r="T151" s="128">
        <f>IF(D$6=1,(PI()*(C151-(2*D151)+(2*H151))*M151*0.1*0.01*7.85*0.001/(T$16*T$17)),0)</f>
        <v>0</v>
      </c>
      <c r="U151" s="128">
        <f>IF(D$6=1,(PI()*(C151-(0.5*D151))*(R151)*0.1*0.01*7.85*0.001/(U$16*U$17)),0)</f>
        <v>0</v>
      </c>
      <c r="V151" s="150">
        <f>IF(D$6=1,0,(PI()*(C151-(2*D151)+(2*H151))*M151*0.1*0.01*7.85*0.001/(V$16*V$17)))</f>
        <v>0.10060043338242591</v>
      </c>
      <c r="W151" s="150">
        <f>IF(D$6=1,0,(PI()*(C151-(0.5*D151))*(R151)*0.1*0.01*7.85*0.001/(W$16*W$17)))</f>
        <v>0.21815712761258682</v>
      </c>
      <c r="X151" s="150">
        <f t="shared" si="166"/>
        <v>0.31875756099501273</v>
      </c>
    </row>
    <row r="152" spans="1:24" ht="12.75">
      <c r="A152" s="141">
        <v>135</v>
      </c>
      <c r="B152" s="142">
        <v>8</v>
      </c>
      <c r="C152" s="143">
        <v>219.1</v>
      </c>
      <c r="D152" s="143">
        <v>3.76</v>
      </c>
      <c r="E152" s="144" t="s">
        <v>84</v>
      </c>
      <c r="F152" s="144">
        <f t="shared" si="165"/>
        <v>19.96788574870115</v>
      </c>
      <c r="G152" s="145">
        <f t="shared" si="1"/>
        <v>3</v>
      </c>
      <c r="H152" s="145">
        <f t="shared" si="167"/>
        <v>2</v>
      </c>
      <c r="I152" s="145">
        <f aca="true" t="shared" si="168" ref="I152:I166">IF(D152&lt;=19,2,3)</f>
        <v>2</v>
      </c>
      <c r="J152" s="146">
        <f aca="true" t="shared" si="169" ref="J152:J166">IF(D152&lt;=19,(D152-H152)*TAN($C$8*PI()/180),(19-H152)*TAN($C$8*PI()/180))</f>
        <v>1.35049549884297</v>
      </c>
      <c r="K152" s="147"/>
      <c r="L152" s="145">
        <f aca="true" t="shared" si="170" ref="L152:L166">IF(D152&lt;=19,0,(D152-19)*TAN($C$10*PI()/180))</f>
        <v>0</v>
      </c>
      <c r="M152" s="145">
        <f aca="true" t="shared" si="171" ref="M152:M166">+G152*(H152*1.5)</f>
        <v>9</v>
      </c>
      <c r="N152" s="145">
        <f aca="true" t="shared" si="172" ref="N152:N166">+G152*(D152-H152)</f>
        <v>5.279999999999999</v>
      </c>
      <c r="O152" s="145">
        <f aca="true" t="shared" si="173" ref="O152:O166">IF(D152&lt;=19,(D152-H152)*J152,(19-H152)*J152)</f>
        <v>2.376872077963627</v>
      </c>
      <c r="P152" s="145">
        <f aca="true" t="shared" si="174" ref="P152:P166">IF(D152&lt;=19,0,(J152*(D152-19)*2)+((L152)*(D152-19)))</f>
        <v>0</v>
      </c>
      <c r="Q152" s="145">
        <f aca="true" t="shared" si="175" ref="Q152:Q166">+(5+G152+(2*(J152+L152)))*I152</f>
        <v>21.40198199537188</v>
      </c>
      <c r="R152" s="147">
        <f aca="true" t="shared" si="176" ref="R152:R166">SUM(N152:Q152)</f>
        <v>29.058854073335507</v>
      </c>
      <c r="S152" s="147"/>
      <c r="T152" s="128">
        <f aca="true" t="shared" si="177" ref="T152:T166">IF(D$6=1,(PI()*(C152-(2*D152)+(2*H152))*M152*0.1*0.01*7.85*0.001/(T$16*T$17)),0)</f>
        <v>0</v>
      </c>
      <c r="U152" s="128">
        <f aca="true" t="shared" si="178" ref="U152:U166">IF(D$6=1,(PI()*(C152-(0.5*D152))*(R152)*0.1*0.01*7.85*0.001/(U$16*U$17)),0)</f>
        <v>0</v>
      </c>
      <c r="V152" s="150">
        <f aca="true" t="shared" si="179" ref="V152:V166">IF(D$6=1,0,(PI()*(C152-(2*D152)+(2*H152))*M152*0.1*0.01*7.85*0.001/(V$16*V$17)))</f>
        <v>0.09968487510839939</v>
      </c>
      <c r="W152" s="150">
        <f aca="true" t="shared" si="180" ref="W152:W166">IF(D$6=1,0,(PI()*(C152-(0.5*D152))*(R152)*0.1*0.01*7.85*0.001/(W$16*W$17)))</f>
        <v>0.29936048874517324</v>
      </c>
      <c r="X152" s="150">
        <f t="shared" si="166"/>
        <v>0.39904536385357264</v>
      </c>
    </row>
    <row r="153" spans="1:24" ht="12.75">
      <c r="A153" s="141">
        <v>136</v>
      </c>
      <c r="B153" s="142">
        <v>8</v>
      </c>
      <c r="C153" s="143">
        <v>219.1</v>
      </c>
      <c r="D153" s="143">
        <v>6.35</v>
      </c>
      <c r="E153" s="144" t="s">
        <v>92</v>
      </c>
      <c r="F153" s="144">
        <f t="shared" si="165"/>
        <v>33.31676484241111</v>
      </c>
      <c r="G153" s="145">
        <f t="shared" si="1"/>
        <v>3</v>
      </c>
      <c r="H153" s="145">
        <f t="shared" si="167"/>
        <v>2</v>
      </c>
      <c r="I153" s="145">
        <f t="shared" si="168"/>
        <v>2</v>
      </c>
      <c r="J153" s="146">
        <f t="shared" si="169"/>
        <v>3.337872397708477</v>
      </c>
      <c r="K153" s="147"/>
      <c r="L153" s="145">
        <f t="shared" si="170"/>
        <v>0</v>
      </c>
      <c r="M153" s="145">
        <f t="shared" si="171"/>
        <v>9</v>
      </c>
      <c r="N153" s="145">
        <f t="shared" si="172"/>
        <v>13.049999999999999</v>
      </c>
      <c r="O153" s="145">
        <f t="shared" si="173"/>
        <v>14.519744930031875</v>
      </c>
      <c r="P153" s="145">
        <f t="shared" si="174"/>
        <v>0</v>
      </c>
      <c r="Q153" s="145">
        <f t="shared" si="175"/>
        <v>29.351489590833907</v>
      </c>
      <c r="R153" s="147">
        <f t="shared" si="176"/>
        <v>56.92123452086578</v>
      </c>
      <c r="S153" s="147"/>
      <c r="T153" s="128">
        <f t="shared" si="177"/>
        <v>0</v>
      </c>
      <c r="U153" s="128">
        <f t="shared" si="178"/>
        <v>0</v>
      </c>
      <c r="V153" s="150">
        <f t="shared" si="179"/>
        <v>0.09728962669453212</v>
      </c>
      <c r="W153" s="150">
        <f t="shared" si="180"/>
        <v>0.5828991535544047</v>
      </c>
      <c r="X153" s="150">
        <f t="shared" si="166"/>
        <v>0.6801887802489368</v>
      </c>
    </row>
    <row r="154" spans="1:24" ht="12.75">
      <c r="A154" s="141">
        <v>137</v>
      </c>
      <c r="B154" s="142">
        <v>8</v>
      </c>
      <c r="C154" s="143">
        <v>219.1</v>
      </c>
      <c r="D154" s="143">
        <v>7.04</v>
      </c>
      <c r="E154" s="144" t="s">
        <v>93</v>
      </c>
      <c r="F154" s="144">
        <f t="shared" si="165"/>
        <v>36.81721601707758</v>
      </c>
      <c r="G154" s="145">
        <f t="shared" si="1"/>
        <v>3</v>
      </c>
      <c r="H154" s="145">
        <f t="shared" si="167"/>
        <v>2</v>
      </c>
      <c r="I154" s="145">
        <f t="shared" si="168"/>
        <v>2</v>
      </c>
      <c r="J154" s="146">
        <f t="shared" si="169"/>
        <v>3.8673280194139603</v>
      </c>
      <c r="K154" s="147"/>
      <c r="L154" s="145">
        <f t="shared" si="170"/>
        <v>0</v>
      </c>
      <c r="M154" s="145">
        <f t="shared" si="171"/>
        <v>9</v>
      </c>
      <c r="N154" s="145">
        <f t="shared" si="172"/>
        <v>15.120000000000001</v>
      </c>
      <c r="O154" s="145">
        <f t="shared" si="173"/>
        <v>19.49133321784636</v>
      </c>
      <c r="P154" s="145">
        <f t="shared" si="174"/>
        <v>0</v>
      </c>
      <c r="Q154" s="145">
        <f t="shared" si="175"/>
        <v>31.469312077655843</v>
      </c>
      <c r="R154" s="147">
        <f t="shared" si="176"/>
        <v>66.08064529550221</v>
      </c>
      <c r="S154" s="147"/>
      <c r="T154" s="128">
        <f t="shared" si="177"/>
        <v>0</v>
      </c>
      <c r="U154" s="128">
        <f t="shared" si="178"/>
        <v>0</v>
      </c>
      <c r="V154" s="150">
        <f t="shared" si="179"/>
        <v>0.09665151032172577</v>
      </c>
      <c r="W154" s="150">
        <f t="shared" si="180"/>
        <v>0.675614448550213</v>
      </c>
      <c r="X154" s="150">
        <f t="shared" si="166"/>
        <v>0.7722659588719388</v>
      </c>
    </row>
    <row r="155" spans="1:24" ht="12.75">
      <c r="A155" s="141">
        <v>138</v>
      </c>
      <c r="B155" s="142">
        <v>8</v>
      </c>
      <c r="C155" s="143">
        <v>219.1</v>
      </c>
      <c r="D155" s="143">
        <v>8.18</v>
      </c>
      <c r="E155" s="144" t="s">
        <v>85</v>
      </c>
      <c r="F155" s="144">
        <f t="shared" si="165"/>
        <v>42.54912130558165</v>
      </c>
      <c r="G155" s="145">
        <f t="shared" si="1"/>
        <v>3</v>
      </c>
      <c r="H155" s="145">
        <f t="shared" si="167"/>
        <v>2</v>
      </c>
      <c r="I155" s="145">
        <f t="shared" si="168"/>
        <v>2</v>
      </c>
      <c r="J155" s="146">
        <f t="shared" si="169"/>
        <v>4.742080785709975</v>
      </c>
      <c r="K155" s="147"/>
      <c r="L155" s="145">
        <f t="shared" si="170"/>
        <v>0</v>
      </c>
      <c r="M155" s="145">
        <f t="shared" si="171"/>
        <v>9</v>
      </c>
      <c r="N155" s="145">
        <f t="shared" si="172"/>
        <v>18.54</v>
      </c>
      <c r="O155" s="145">
        <f t="shared" si="173"/>
        <v>29.306059255687643</v>
      </c>
      <c r="P155" s="145">
        <f t="shared" si="174"/>
        <v>0</v>
      </c>
      <c r="Q155" s="145">
        <f t="shared" si="175"/>
        <v>34.9683231428399</v>
      </c>
      <c r="R155" s="147">
        <f t="shared" si="176"/>
        <v>82.81438239852754</v>
      </c>
      <c r="S155" s="147"/>
      <c r="T155" s="128">
        <f t="shared" si="177"/>
        <v>0</v>
      </c>
      <c r="U155" s="128">
        <f t="shared" si="178"/>
        <v>0</v>
      </c>
      <c r="V155" s="150">
        <f t="shared" si="179"/>
        <v>0.09559723109708923</v>
      </c>
      <c r="W155" s="150">
        <f t="shared" si="180"/>
        <v>0.8444629739344078</v>
      </c>
      <c r="X155" s="150">
        <f t="shared" si="166"/>
        <v>0.940060205031497</v>
      </c>
    </row>
    <row r="156" spans="1:24" ht="12.75">
      <c r="A156" s="141">
        <v>139</v>
      </c>
      <c r="B156" s="142">
        <v>8</v>
      </c>
      <c r="C156" s="143">
        <v>219.1</v>
      </c>
      <c r="D156" s="143">
        <v>8.18</v>
      </c>
      <c r="E156" s="144" t="s">
        <v>86</v>
      </c>
      <c r="F156" s="144">
        <f t="shared" si="165"/>
        <v>42.54912130558165</v>
      </c>
      <c r="G156" s="145">
        <f t="shared" si="1"/>
        <v>3</v>
      </c>
      <c r="H156" s="145">
        <f t="shared" si="167"/>
        <v>2</v>
      </c>
      <c r="I156" s="145">
        <f t="shared" si="168"/>
        <v>2</v>
      </c>
      <c r="J156" s="146">
        <f t="shared" si="169"/>
        <v>4.742080785709975</v>
      </c>
      <c r="K156" s="147"/>
      <c r="L156" s="145">
        <f t="shared" si="170"/>
        <v>0</v>
      </c>
      <c r="M156" s="145">
        <f t="shared" si="171"/>
        <v>9</v>
      </c>
      <c r="N156" s="145">
        <f t="shared" si="172"/>
        <v>18.54</v>
      </c>
      <c r="O156" s="145">
        <f t="shared" si="173"/>
        <v>29.306059255687643</v>
      </c>
      <c r="P156" s="145">
        <f t="shared" si="174"/>
        <v>0</v>
      </c>
      <c r="Q156" s="145">
        <f t="shared" si="175"/>
        <v>34.9683231428399</v>
      </c>
      <c r="R156" s="147">
        <f t="shared" si="176"/>
        <v>82.81438239852754</v>
      </c>
      <c r="S156" s="147"/>
      <c r="T156" s="128">
        <f t="shared" si="177"/>
        <v>0</v>
      </c>
      <c r="U156" s="128">
        <f t="shared" si="178"/>
        <v>0</v>
      </c>
      <c r="V156" s="150">
        <f t="shared" si="179"/>
        <v>0.09559723109708923</v>
      </c>
      <c r="W156" s="150">
        <f t="shared" si="180"/>
        <v>0.8444629739344078</v>
      </c>
      <c r="X156" s="150">
        <f t="shared" si="166"/>
        <v>0.940060205031497</v>
      </c>
    </row>
    <row r="157" spans="1:24" ht="12.75">
      <c r="A157" s="141">
        <v>140</v>
      </c>
      <c r="B157" s="142">
        <v>8</v>
      </c>
      <c r="C157" s="143">
        <v>219.1</v>
      </c>
      <c r="D157" s="143">
        <v>8.18</v>
      </c>
      <c r="E157" s="144" t="s">
        <v>87</v>
      </c>
      <c r="F157" s="144">
        <f t="shared" si="165"/>
        <v>42.54912130558165</v>
      </c>
      <c r="G157" s="145">
        <f t="shared" si="1"/>
        <v>3</v>
      </c>
      <c r="H157" s="145">
        <f t="shared" si="167"/>
        <v>2</v>
      </c>
      <c r="I157" s="145">
        <f t="shared" si="168"/>
        <v>2</v>
      </c>
      <c r="J157" s="146">
        <f t="shared" si="169"/>
        <v>4.742080785709975</v>
      </c>
      <c r="K157" s="147"/>
      <c r="L157" s="145">
        <f t="shared" si="170"/>
        <v>0</v>
      </c>
      <c r="M157" s="145">
        <f t="shared" si="171"/>
        <v>9</v>
      </c>
      <c r="N157" s="145">
        <f t="shared" si="172"/>
        <v>18.54</v>
      </c>
      <c r="O157" s="145">
        <f t="shared" si="173"/>
        <v>29.306059255687643</v>
      </c>
      <c r="P157" s="145">
        <f t="shared" si="174"/>
        <v>0</v>
      </c>
      <c r="Q157" s="145">
        <f t="shared" si="175"/>
        <v>34.9683231428399</v>
      </c>
      <c r="R157" s="147">
        <f t="shared" si="176"/>
        <v>82.81438239852754</v>
      </c>
      <c r="S157" s="147"/>
      <c r="T157" s="128">
        <f t="shared" si="177"/>
        <v>0</v>
      </c>
      <c r="U157" s="128">
        <f t="shared" si="178"/>
        <v>0</v>
      </c>
      <c r="V157" s="150">
        <f t="shared" si="179"/>
        <v>0.09559723109708923</v>
      </c>
      <c r="W157" s="150">
        <f t="shared" si="180"/>
        <v>0.8444629739344078</v>
      </c>
      <c r="X157" s="150">
        <f t="shared" si="166"/>
        <v>0.940060205031497</v>
      </c>
    </row>
    <row r="158" spans="1:24" ht="12.75">
      <c r="A158" s="141">
        <v>141</v>
      </c>
      <c r="B158" s="142">
        <v>8</v>
      </c>
      <c r="C158" s="143">
        <v>219.1</v>
      </c>
      <c r="D158" s="143">
        <v>10.31</v>
      </c>
      <c r="E158" s="144" t="s">
        <v>94</v>
      </c>
      <c r="F158" s="144">
        <f t="shared" si="165"/>
        <v>53.086963988429524</v>
      </c>
      <c r="G158" s="145">
        <f t="shared" si="1"/>
        <v>3</v>
      </c>
      <c r="H158" s="145">
        <f t="shared" si="167"/>
        <v>2</v>
      </c>
      <c r="I158" s="145">
        <f t="shared" si="168"/>
        <v>2</v>
      </c>
      <c r="J158" s="146">
        <f t="shared" si="169"/>
        <v>6.376487270105161</v>
      </c>
      <c r="K158" s="147"/>
      <c r="L158" s="145">
        <f t="shared" si="170"/>
        <v>0</v>
      </c>
      <c r="M158" s="145">
        <f t="shared" si="171"/>
        <v>9</v>
      </c>
      <c r="N158" s="145">
        <f t="shared" si="172"/>
        <v>24.93</v>
      </c>
      <c r="O158" s="145">
        <f t="shared" si="173"/>
        <v>52.98860921457389</v>
      </c>
      <c r="P158" s="145">
        <f t="shared" si="174"/>
        <v>0</v>
      </c>
      <c r="Q158" s="145">
        <f t="shared" si="175"/>
        <v>41.50594908042065</v>
      </c>
      <c r="R158" s="147">
        <f t="shared" si="176"/>
        <v>119.42455829499454</v>
      </c>
      <c r="S158" s="147"/>
      <c r="T158" s="128">
        <f t="shared" si="177"/>
        <v>0</v>
      </c>
      <c r="U158" s="128">
        <f t="shared" si="178"/>
        <v>0</v>
      </c>
      <c r="V158" s="150">
        <f t="shared" si="179"/>
        <v>0.09362739359842617</v>
      </c>
      <c r="W158" s="150">
        <f t="shared" si="180"/>
        <v>1.211747048977862</v>
      </c>
      <c r="X158" s="150">
        <f t="shared" si="166"/>
        <v>1.305374442576288</v>
      </c>
    </row>
    <row r="159" spans="1:24" ht="12.75">
      <c r="A159" s="141">
        <v>142</v>
      </c>
      <c r="B159" s="142">
        <v>8</v>
      </c>
      <c r="C159" s="143">
        <v>219.1</v>
      </c>
      <c r="D159" s="143">
        <v>12.7</v>
      </c>
      <c r="E159" s="144" t="s">
        <v>88</v>
      </c>
      <c r="F159" s="144">
        <f t="shared" si="165"/>
        <v>64.64470282936453</v>
      </c>
      <c r="G159" s="145">
        <f t="shared" si="1"/>
        <v>3</v>
      </c>
      <c r="H159" s="145">
        <f t="shared" si="167"/>
        <v>2</v>
      </c>
      <c r="I159" s="145">
        <f t="shared" si="168"/>
        <v>2</v>
      </c>
      <c r="J159" s="146">
        <f t="shared" si="169"/>
        <v>8.210398771374875</v>
      </c>
      <c r="K159" s="147"/>
      <c r="L159" s="145">
        <f t="shared" si="170"/>
        <v>0</v>
      </c>
      <c r="M159" s="145">
        <f t="shared" si="171"/>
        <v>9</v>
      </c>
      <c r="N159" s="145">
        <f t="shared" si="172"/>
        <v>32.099999999999994</v>
      </c>
      <c r="O159" s="145">
        <f t="shared" si="173"/>
        <v>87.85126685371115</v>
      </c>
      <c r="P159" s="145">
        <f t="shared" si="174"/>
        <v>0</v>
      </c>
      <c r="Q159" s="145">
        <f t="shared" si="175"/>
        <v>48.8415950854995</v>
      </c>
      <c r="R159" s="147">
        <f t="shared" si="176"/>
        <v>168.79286193921064</v>
      </c>
      <c r="S159" s="147"/>
      <c r="T159" s="128">
        <f t="shared" si="177"/>
        <v>0</v>
      </c>
      <c r="U159" s="128">
        <f t="shared" si="178"/>
        <v>0</v>
      </c>
      <c r="V159" s="150">
        <f t="shared" si="179"/>
        <v>0.09141710645203899</v>
      </c>
      <c r="W159" s="150">
        <f t="shared" si="180"/>
        <v>1.7030987547868706</v>
      </c>
      <c r="X159" s="150">
        <f t="shared" si="166"/>
        <v>1.7945158612389096</v>
      </c>
    </row>
    <row r="160" spans="1:24" ht="12.75">
      <c r="A160" s="141">
        <v>143</v>
      </c>
      <c r="B160" s="142">
        <v>8</v>
      </c>
      <c r="C160" s="143">
        <v>219.1</v>
      </c>
      <c r="D160" s="143">
        <v>12.7</v>
      </c>
      <c r="E160" s="144" t="s">
        <v>82</v>
      </c>
      <c r="F160" s="144">
        <f t="shared" si="165"/>
        <v>64.64470282936453</v>
      </c>
      <c r="G160" s="145">
        <f t="shared" si="1"/>
        <v>3</v>
      </c>
      <c r="H160" s="145">
        <f t="shared" si="167"/>
        <v>2</v>
      </c>
      <c r="I160" s="145">
        <f t="shared" si="168"/>
        <v>2</v>
      </c>
      <c r="J160" s="146">
        <f t="shared" si="169"/>
        <v>8.210398771374875</v>
      </c>
      <c r="K160" s="147"/>
      <c r="L160" s="145">
        <f t="shared" si="170"/>
        <v>0</v>
      </c>
      <c r="M160" s="145">
        <f t="shared" si="171"/>
        <v>9</v>
      </c>
      <c r="N160" s="145">
        <f t="shared" si="172"/>
        <v>32.099999999999994</v>
      </c>
      <c r="O160" s="145">
        <f t="shared" si="173"/>
        <v>87.85126685371115</v>
      </c>
      <c r="P160" s="145">
        <f t="shared" si="174"/>
        <v>0</v>
      </c>
      <c r="Q160" s="145">
        <f t="shared" si="175"/>
        <v>48.8415950854995</v>
      </c>
      <c r="R160" s="147">
        <f t="shared" si="176"/>
        <v>168.79286193921064</v>
      </c>
      <c r="S160" s="147"/>
      <c r="T160" s="128">
        <f t="shared" si="177"/>
        <v>0</v>
      </c>
      <c r="U160" s="128">
        <f t="shared" si="178"/>
        <v>0</v>
      </c>
      <c r="V160" s="150">
        <f t="shared" si="179"/>
        <v>0.09141710645203899</v>
      </c>
      <c r="W160" s="150">
        <f t="shared" si="180"/>
        <v>1.7030987547868706</v>
      </c>
      <c r="X160" s="150">
        <f t="shared" si="166"/>
        <v>1.7945158612389096</v>
      </c>
    </row>
    <row r="161" spans="1:24" ht="12.75">
      <c r="A161" s="141">
        <v>144</v>
      </c>
      <c r="B161" s="142">
        <v>8</v>
      </c>
      <c r="C161" s="143">
        <v>219.1</v>
      </c>
      <c r="D161" s="143">
        <v>12.7</v>
      </c>
      <c r="E161" s="144" t="s">
        <v>89</v>
      </c>
      <c r="F161" s="144">
        <f t="shared" si="165"/>
        <v>64.64470282936453</v>
      </c>
      <c r="G161" s="145">
        <f t="shared" si="1"/>
        <v>3</v>
      </c>
      <c r="H161" s="145">
        <f t="shared" si="167"/>
        <v>2</v>
      </c>
      <c r="I161" s="145">
        <f t="shared" si="168"/>
        <v>2</v>
      </c>
      <c r="J161" s="146">
        <f t="shared" si="169"/>
        <v>8.210398771374875</v>
      </c>
      <c r="K161" s="147"/>
      <c r="L161" s="145">
        <f t="shared" si="170"/>
        <v>0</v>
      </c>
      <c r="M161" s="145">
        <f t="shared" si="171"/>
        <v>9</v>
      </c>
      <c r="N161" s="145">
        <f t="shared" si="172"/>
        <v>32.099999999999994</v>
      </c>
      <c r="O161" s="145">
        <f t="shared" si="173"/>
        <v>87.85126685371115</v>
      </c>
      <c r="P161" s="145">
        <f t="shared" si="174"/>
        <v>0</v>
      </c>
      <c r="Q161" s="145">
        <f t="shared" si="175"/>
        <v>48.8415950854995</v>
      </c>
      <c r="R161" s="147">
        <f t="shared" si="176"/>
        <v>168.79286193921064</v>
      </c>
      <c r="S161" s="147"/>
      <c r="T161" s="128">
        <f t="shared" si="177"/>
        <v>0</v>
      </c>
      <c r="U161" s="128">
        <f t="shared" si="178"/>
        <v>0</v>
      </c>
      <c r="V161" s="150">
        <f t="shared" si="179"/>
        <v>0.09141710645203899</v>
      </c>
      <c r="W161" s="150">
        <f t="shared" si="180"/>
        <v>1.7030987547868706</v>
      </c>
      <c r="X161" s="150">
        <f t="shared" si="166"/>
        <v>1.7945158612389096</v>
      </c>
    </row>
    <row r="162" spans="1:24" ht="12.75">
      <c r="A162" s="141">
        <v>145</v>
      </c>
      <c r="B162" s="142">
        <v>8</v>
      </c>
      <c r="C162" s="143">
        <v>219.1</v>
      </c>
      <c r="D162" s="143">
        <v>15.09</v>
      </c>
      <c r="E162" s="144" t="s">
        <v>95</v>
      </c>
      <c r="F162" s="144">
        <f t="shared" si="165"/>
        <v>75.92070373537338</v>
      </c>
      <c r="G162" s="145">
        <f t="shared" si="1"/>
        <v>3</v>
      </c>
      <c r="H162" s="145">
        <f t="shared" si="167"/>
        <v>2</v>
      </c>
      <c r="I162" s="145">
        <f t="shared" si="168"/>
        <v>2</v>
      </c>
      <c r="J162" s="146">
        <f t="shared" si="169"/>
        <v>10.04431027264459</v>
      </c>
      <c r="K162" s="147"/>
      <c r="L162" s="145">
        <f t="shared" si="170"/>
        <v>0</v>
      </c>
      <c r="M162" s="145">
        <f t="shared" si="171"/>
        <v>9</v>
      </c>
      <c r="N162" s="145">
        <f t="shared" si="172"/>
        <v>39.269999999999996</v>
      </c>
      <c r="O162" s="145">
        <f t="shared" si="173"/>
        <v>131.4800214689177</v>
      </c>
      <c r="P162" s="145">
        <f t="shared" si="174"/>
        <v>0</v>
      </c>
      <c r="Q162" s="145">
        <f t="shared" si="175"/>
        <v>56.17724109057836</v>
      </c>
      <c r="R162" s="147">
        <f t="shared" si="176"/>
        <v>226.92726255949606</v>
      </c>
      <c r="S162" s="147"/>
      <c r="T162" s="128">
        <f t="shared" si="177"/>
        <v>0</v>
      </c>
      <c r="U162" s="128">
        <f t="shared" si="178"/>
        <v>0</v>
      </c>
      <c r="V162" s="150">
        <f t="shared" si="179"/>
        <v>0.08920681930565179</v>
      </c>
      <c r="W162" s="150">
        <f t="shared" si="180"/>
        <v>2.2768066655091888</v>
      </c>
      <c r="X162" s="150">
        <f t="shared" si="166"/>
        <v>2.3660134848148404</v>
      </c>
    </row>
    <row r="163" spans="1:24" ht="12.75">
      <c r="A163" s="141">
        <v>146</v>
      </c>
      <c r="B163" s="142">
        <v>8</v>
      </c>
      <c r="C163" s="143">
        <v>219.1</v>
      </c>
      <c r="D163" s="143">
        <v>18.26</v>
      </c>
      <c r="E163" s="144" t="s">
        <v>91</v>
      </c>
      <c r="F163" s="144">
        <f t="shared" si="165"/>
        <v>90.44207449899181</v>
      </c>
      <c r="G163" s="145">
        <f t="shared" si="1"/>
        <v>3</v>
      </c>
      <c r="H163" s="145">
        <f t="shared" si="167"/>
        <v>2</v>
      </c>
      <c r="I163" s="145">
        <f t="shared" si="168"/>
        <v>2</v>
      </c>
      <c r="J163" s="146">
        <f t="shared" si="169"/>
        <v>12.476736824537896</v>
      </c>
      <c r="K163" s="147"/>
      <c r="L163" s="145">
        <f t="shared" si="170"/>
        <v>0</v>
      </c>
      <c r="M163" s="145">
        <f t="shared" si="171"/>
        <v>9</v>
      </c>
      <c r="N163" s="145">
        <f t="shared" si="172"/>
        <v>48.78</v>
      </c>
      <c r="O163" s="145">
        <f t="shared" si="173"/>
        <v>202.87174076698622</v>
      </c>
      <c r="P163" s="145">
        <f t="shared" si="174"/>
        <v>0</v>
      </c>
      <c r="Q163" s="145">
        <f t="shared" si="175"/>
        <v>65.90694729815158</v>
      </c>
      <c r="R163" s="147">
        <f t="shared" si="176"/>
        <v>317.5586880651378</v>
      </c>
      <c r="S163" s="147"/>
      <c r="T163" s="128">
        <f t="shared" si="177"/>
        <v>0</v>
      </c>
      <c r="U163" s="128">
        <f t="shared" si="178"/>
        <v>0</v>
      </c>
      <c r="V163" s="150">
        <f t="shared" si="179"/>
        <v>0.0862751832160922</v>
      </c>
      <c r="W163" s="150">
        <f t="shared" si="180"/>
        <v>3.1622589696113335</v>
      </c>
      <c r="X163" s="150">
        <f t="shared" si="166"/>
        <v>3.2485341528274256</v>
      </c>
    </row>
    <row r="164" spans="1:24" ht="12.75">
      <c r="A164" s="141">
        <v>147</v>
      </c>
      <c r="B164" s="142">
        <v>8</v>
      </c>
      <c r="C164" s="143">
        <v>219.1</v>
      </c>
      <c r="D164" s="143">
        <v>20.62</v>
      </c>
      <c r="E164" s="144" t="s">
        <v>96</v>
      </c>
      <c r="F164" s="144">
        <f t="shared" si="165"/>
        <v>100.9310849410747</v>
      </c>
      <c r="G164" s="145">
        <f t="shared" si="1"/>
        <v>3</v>
      </c>
      <c r="H164" s="145">
        <f t="shared" si="167"/>
        <v>2</v>
      </c>
      <c r="I164" s="145">
        <f t="shared" si="168"/>
        <v>3</v>
      </c>
      <c r="J164" s="146">
        <f t="shared" si="169"/>
        <v>13.044558795642326</v>
      </c>
      <c r="K164" s="147"/>
      <c r="L164" s="145">
        <f t="shared" si="170"/>
        <v>0.28564970874771345</v>
      </c>
      <c r="M164" s="145">
        <f t="shared" si="171"/>
        <v>9</v>
      </c>
      <c r="N164" s="145">
        <f t="shared" si="172"/>
        <v>55.86</v>
      </c>
      <c r="O164" s="145">
        <f t="shared" si="173"/>
        <v>221.75749952591954</v>
      </c>
      <c r="P164" s="145">
        <f t="shared" si="174"/>
        <v>42.72712302605245</v>
      </c>
      <c r="Q164" s="145">
        <f t="shared" si="175"/>
        <v>103.98125102634023</v>
      </c>
      <c r="R164" s="147">
        <f t="shared" si="176"/>
        <v>424.3258735783122</v>
      </c>
      <c r="S164" s="147"/>
      <c r="T164" s="128">
        <f t="shared" si="177"/>
        <v>0</v>
      </c>
      <c r="U164" s="128">
        <f t="shared" si="178"/>
        <v>0</v>
      </c>
      <c r="V164" s="150">
        <f t="shared" si="179"/>
        <v>0.08409264025982706</v>
      </c>
      <c r="W164" s="150">
        <f t="shared" si="180"/>
        <v>4.201703419012678</v>
      </c>
      <c r="X164" s="150">
        <f t="shared" si="166"/>
        <v>4.2857960592725055</v>
      </c>
    </row>
    <row r="165" spans="1:24" ht="12.75">
      <c r="A165" s="141">
        <v>148</v>
      </c>
      <c r="B165" s="142">
        <v>8</v>
      </c>
      <c r="C165" s="143">
        <v>219.1</v>
      </c>
      <c r="D165" s="143">
        <v>23.01</v>
      </c>
      <c r="E165" s="144" t="s">
        <v>90</v>
      </c>
      <c r="F165" s="144">
        <f t="shared" si="165"/>
        <v>111.2734605564496</v>
      </c>
      <c r="G165" s="145">
        <f t="shared" si="1"/>
        <v>3</v>
      </c>
      <c r="H165" s="145">
        <f t="shared" si="167"/>
        <v>2</v>
      </c>
      <c r="I165" s="145">
        <f t="shared" si="168"/>
        <v>3</v>
      </c>
      <c r="J165" s="146">
        <f t="shared" si="169"/>
        <v>13.044558795642326</v>
      </c>
      <c r="K165" s="147"/>
      <c r="L165" s="145">
        <f t="shared" si="170"/>
        <v>0.7070711926409449</v>
      </c>
      <c r="M165" s="145">
        <f t="shared" si="171"/>
        <v>9</v>
      </c>
      <c r="N165" s="145">
        <f t="shared" si="172"/>
        <v>63.03</v>
      </c>
      <c r="O165" s="145">
        <f t="shared" si="173"/>
        <v>221.75749952591954</v>
      </c>
      <c r="P165" s="145">
        <f t="shared" si="174"/>
        <v>107.45271702354168</v>
      </c>
      <c r="Q165" s="145">
        <f t="shared" si="175"/>
        <v>106.50977992969962</v>
      </c>
      <c r="R165" s="147">
        <f t="shared" si="176"/>
        <v>498.74999647916087</v>
      </c>
      <c r="S165" s="147"/>
      <c r="T165" s="128">
        <f t="shared" si="177"/>
        <v>0</v>
      </c>
      <c r="U165" s="128">
        <f t="shared" si="178"/>
        <v>0</v>
      </c>
      <c r="V165" s="150">
        <f t="shared" si="179"/>
        <v>0.08188235311343987</v>
      </c>
      <c r="W165" s="150">
        <f t="shared" si="180"/>
        <v>4.910389931582729</v>
      </c>
      <c r="X165" s="150">
        <f t="shared" si="166"/>
        <v>4.992272284696169</v>
      </c>
    </row>
    <row r="166" spans="1:24" ht="12.75">
      <c r="A166" s="141">
        <v>149</v>
      </c>
      <c r="B166" s="142">
        <v>8</v>
      </c>
      <c r="C166" s="143">
        <v>219.1</v>
      </c>
      <c r="D166" s="143">
        <v>22.221</v>
      </c>
      <c r="E166" s="144" t="s">
        <v>83</v>
      </c>
      <c r="F166" s="144">
        <f t="shared" si="165"/>
        <v>107.89033053569929</v>
      </c>
      <c r="G166" s="145">
        <f t="shared" si="1"/>
        <v>3</v>
      </c>
      <c r="H166" s="145">
        <f t="shared" si="167"/>
        <v>2</v>
      </c>
      <c r="I166" s="145">
        <f t="shared" si="168"/>
        <v>3</v>
      </c>
      <c r="J166" s="146">
        <f t="shared" si="169"/>
        <v>13.044558795642326</v>
      </c>
      <c r="K166" s="147"/>
      <c r="L166" s="145">
        <f t="shared" si="170"/>
        <v>0.5679492048619657</v>
      </c>
      <c r="M166" s="145">
        <f t="shared" si="171"/>
        <v>9</v>
      </c>
      <c r="N166" s="145">
        <f t="shared" si="172"/>
        <v>60.663</v>
      </c>
      <c r="O166" s="145">
        <f t="shared" si="173"/>
        <v>221.75749952591954</v>
      </c>
      <c r="P166" s="145">
        <f t="shared" si="174"/>
        <v>85.86241215038827</v>
      </c>
      <c r="Q166" s="145">
        <f t="shared" si="175"/>
        <v>105.67504800302575</v>
      </c>
      <c r="R166" s="147">
        <f t="shared" si="176"/>
        <v>473.9579596793335</v>
      </c>
      <c r="S166" s="147"/>
      <c r="T166" s="128">
        <f t="shared" si="177"/>
        <v>0</v>
      </c>
      <c r="U166" s="128">
        <f t="shared" si="178"/>
        <v>0</v>
      </c>
      <c r="V166" s="150">
        <f t="shared" si="179"/>
        <v>0.08261202531364886</v>
      </c>
      <c r="W166" s="150">
        <f t="shared" si="180"/>
        <v>4.675170112812511</v>
      </c>
      <c r="X166" s="150">
        <f t="shared" si="166"/>
        <v>4.75778213812616</v>
      </c>
    </row>
    <row r="167" spans="1:24" ht="12.75">
      <c r="A167" s="141">
        <v>150</v>
      </c>
      <c r="B167" s="142"/>
      <c r="C167" s="143"/>
      <c r="D167" s="143"/>
      <c r="E167" s="144"/>
      <c r="F167" s="144">
        <f t="shared" si="165"/>
        <v>0</v>
      </c>
      <c r="G167" s="145"/>
      <c r="H167" s="145">
        <f t="shared" si="167"/>
        <v>0</v>
      </c>
      <c r="I167" s="145"/>
      <c r="J167" s="146"/>
      <c r="K167" s="147"/>
      <c r="L167" s="145"/>
      <c r="M167" s="145"/>
      <c r="N167" s="145"/>
      <c r="O167" s="145"/>
      <c r="P167" s="145"/>
      <c r="Q167" s="145"/>
      <c r="R167" s="147"/>
      <c r="S167" s="147"/>
      <c r="T167" s="128"/>
      <c r="U167" s="128"/>
      <c r="V167" s="150"/>
      <c r="W167" s="150"/>
      <c r="X167" s="150">
        <f t="shared" si="166"/>
        <v>0</v>
      </c>
    </row>
    <row r="168" spans="1:24" ht="12.75">
      <c r="A168" s="141">
        <v>151</v>
      </c>
      <c r="B168" s="142">
        <v>10</v>
      </c>
      <c r="C168" s="143">
        <v>273</v>
      </c>
      <c r="D168" s="143">
        <v>3.4</v>
      </c>
      <c r="E168" s="144" t="s">
        <v>81</v>
      </c>
      <c r="F168" s="144">
        <f t="shared" si="165"/>
        <v>22.605719496394403</v>
      </c>
      <c r="G168" s="145">
        <f t="shared" si="1"/>
        <v>3</v>
      </c>
      <c r="H168" s="145">
        <f t="shared" si="167"/>
        <v>2</v>
      </c>
      <c r="I168" s="145">
        <f>IF(D168&lt;=19,2,3)</f>
        <v>2</v>
      </c>
      <c r="J168" s="146">
        <f>IF(D168&lt;=19,(D168-H168)*TAN($C$8*PI()/180),(19-H168)*TAN($C$8*PI()/180))</f>
        <v>1.0742577831705444</v>
      </c>
      <c r="K168" s="147"/>
      <c r="L168" s="145">
        <f>IF(D168&lt;=19,0,(D168-19)*TAN($C$10*PI()/180))</f>
        <v>0</v>
      </c>
      <c r="M168" s="145">
        <f>+G168*(H168*1.5)</f>
        <v>9</v>
      </c>
      <c r="N168" s="145">
        <f>+G168*(D168-H168)</f>
        <v>4.199999999999999</v>
      </c>
      <c r="O168" s="145">
        <f>IF(D168&lt;=19,(D168-H168)*J168,(19-H168)*J168)</f>
        <v>1.503960896438762</v>
      </c>
      <c r="P168" s="145">
        <f>IF(D168&lt;=19,0,(J168*(D168-19)*2)+((L168)*(D168-19)))</f>
        <v>0</v>
      </c>
      <c r="Q168" s="145">
        <f>+(5+G168+(2*(J168+L168)))*I168</f>
        <v>20.29703113268218</v>
      </c>
      <c r="R168" s="147">
        <f>SUM(N168:Q168)</f>
        <v>26.00099202912094</v>
      </c>
      <c r="S168" s="147"/>
      <c r="T168" s="128">
        <f>IF(D$6=1,(PI()*(C168-(2*D168)+(2*H168))*M168*0.1*0.01*7.85*0.001/(T$16*T$17)),0)</f>
        <v>0</v>
      </c>
      <c r="U168" s="128">
        <f>IF(D$6=1,(PI()*(C168-(0.5*D168))*(R168)*0.1*0.01*7.85*0.001/(U$16*U$17)),0)</f>
        <v>0</v>
      </c>
      <c r="V168" s="150">
        <f>IF(D$6=1,0,(PI()*(C168-(2*D168)+(2*H168))*M168*0.1*0.01*7.85*0.001/(V$16*V$17)))</f>
        <v>0.1249413361828069</v>
      </c>
      <c r="W168" s="150">
        <f>IF(D$6=1,0,(PI()*(C168-(0.5*D168))*(R168)*0.1*0.01*7.85*0.001/(W$16*W$17)))</f>
        <v>0.33454604322162657</v>
      </c>
      <c r="X168" s="150">
        <f t="shared" si="166"/>
        <v>0.45948737940443346</v>
      </c>
    </row>
    <row r="169" spans="1:24" ht="12.75">
      <c r="A169" s="141">
        <v>152</v>
      </c>
      <c r="B169" s="142">
        <v>10</v>
      </c>
      <c r="C169" s="143">
        <v>273</v>
      </c>
      <c r="D169" s="143">
        <v>4.19</v>
      </c>
      <c r="E169" s="144" t="s">
        <v>84</v>
      </c>
      <c r="F169" s="144">
        <f t="shared" si="165"/>
        <v>27.776592869927143</v>
      </c>
      <c r="G169" s="145">
        <f t="shared" si="1"/>
        <v>3</v>
      </c>
      <c r="H169" s="145">
        <f t="shared" si="167"/>
        <v>2</v>
      </c>
      <c r="I169" s="145">
        <f aca="true" t="shared" si="181" ref="I169:I183">IF(D169&lt;=19,2,3)</f>
        <v>2</v>
      </c>
      <c r="J169" s="146">
        <f aca="true" t="shared" si="182" ref="J169:J183">IF(D169&lt;=19,(D169-H169)*TAN($C$8*PI()/180),(19-H169)*TAN($C$8*PI()/180))</f>
        <v>1.6804461036739236</v>
      </c>
      <c r="K169" s="147"/>
      <c r="L169" s="145">
        <f aca="true" t="shared" si="183" ref="L169:L183">IF(D169&lt;=19,0,(D169-19)*TAN($C$10*PI()/180))</f>
        <v>0</v>
      </c>
      <c r="M169" s="145">
        <f aca="true" t="shared" si="184" ref="M169:M183">+G169*(H169*1.5)</f>
        <v>9</v>
      </c>
      <c r="N169" s="145">
        <f aca="true" t="shared" si="185" ref="N169:N183">+G169*(D169-H169)</f>
        <v>6.570000000000001</v>
      </c>
      <c r="O169" s="145">
        <f aca="true" t="shared" si="186" ref="O169:O183">IF(D169&lt;=19,(D169-H169)*J169,(19-H169)*J169)</f>
        <v>3.680176967045893</v>
      </c>
      <c r="P169" s="145">
        <f aca="true" t="shared" si="187" ref="P169:P183">IF(D169&lt;=19,0,(J169*(D169-19)*2)+((L169)*(D169-19)))</f>
        <v>0</v>
      </c>
      <c r="Q169" s="145">
        <f aca="true" t="shared" si="188" ref="Q169:Q183">+(5+G169+(2*(J169+L169)))*I169</f>
        <v>22.721784414695694</v>
      </c>
      <c r="R169" s="147">
        <f aca="true" t="shared" si="189" ref="R169:R183">SUM(N169:Q169)</f>
        <v>32.971961381741586</v>
      </c>
      <c r="S169" s="147"/>
      <c r="T169" s="128">
        <f aca="true" t="shared" si="190" ref="T169:T183">IF(D$6=1,(PI()*(C169-(2*D169)+(2*H169))*M169*0.1*0.01*7.85*0.001/(T$16*T$17)),0)</f>
        <v>0</v>
      </c>
      <c r="U169" s="128">
        <f aca="true" t="shared" si="191" ref="U169:U183">IF(D$6=1,(PI()*(C169-(0.5*D169))*(R169)*0.1*0.01*7.85*0.001/(U$16*U$17)),0)</f>
        <v>0</v>
      </c>
      <c r="V169" s="150">
        <f aca="true" t="shared" si="192" ref="V169:V183">IF(D$6=1,0,(PI()*(C169-(2*D169)+(2*H169))*M169*0.1*0.01*7.85*0.001/(V$16*V$17)))</f>
        <v>0.12421073917626055</v>
      </c>
      <c r="W169" s="150">
        <f aca="true" t="shared" si="193" ref="W169:W183">IF(D$6=1,0,(PI()*(C169-(0.5*D169))*(R169)*0.1*0.01*7.85*0.001/(W$16*W$17)))</f>
        <v>0.42362149547637273</v>
      </c>
      <c r="X169" s="150">
        <f t="shared" si="166"/>
        <v>0.5478322346526333</v>
      </c>
    </row>
    <row r="170" spans="1:24" ht="12.75">
      <c r="A170" s="141">
        <v>153</v>
      </c>
      <c r="B170" s="142">
        <v>10</v>
      </c>
      <c r="C170" s="143">
        <v>273</v>
      </c>
      <c r="D170" s="143">
        <v>6.35</v>
      </c>
      <c r="E170" s="144" t="s">
        <v>92</v>
      </c>
      <c r="F170" s="144">
        <f t="shared" si="165"/>
        <v>41.757533937621254</v>
      </c>
      <c r="G170" s="145">
        <f t="shared" si="1"/>
        <v>3</v>
      </c>
      <c r="H170" s="145">
        <f t="shared" si="167"/>
        <v>2</v>
      </c>
      <c r="I170" s="145">
        <f t="shared" si="181"/>
        <v>2</v>
      </c>
      <c r="J170" s="146">
        <f t="shared" si="182"/>
        <v>3.337872397708477</v>
      </c>
      <c r="K170" s="147"/>
      <c r="L170" s="145">
        <f t="shared" si="183"/>
        <v>0</v>
      </c>
      <c r="M170" s="145">
        <f t="shared" si="184"/>
        <v>9</v>
      </c>
      <c r="N170" s="145">
        <f t="shared" si="185"/>
        <v>13.049999999999999</v>
      </c>
      <c r="O170" s="145">
        <f t="shared" si="186"/>
        <v>14.519744930031875</v>
      </c>
      <c r="P170" s="145">
        <f t="shared" si="187"/>
        <v>0</v>
      </c>
      <c r="Q170" s="145">
        <f t="shared" si="188"/>
        <v>29.351489590833907</v>
      </c>
      <c r="R170" s="147">
        <f t="shared" si="189"/>
        <v>56.92123452086578</v>
      </c>
      <c r="S170" s="147"/>
      <c r="T170" s="128">
        <f t="shared" si="190"/>
        <v>0</v>
      </c>
      <c r="U170" s="128">
        <f t="shared" si="191"/>
        <v>0</v>
      </c>
      <c r="V170" s="150">
        <f t="shared" si="192"/>
        <v>0.12221315748747547</v>
      </c>
      <c r="W170" s="150">
        <f t="shared" si="193"/>
        <v>0.7284046039495994</v>
      </c>
      <c r="X170" s="150">
        <f t="shared" si="166"/>
        <v>0.8506177614370749</v>
      </c>
    </row>
    <row r="171" spans="1:24" ht="12.75">
      <c r="A171" s="141">
        <v>154</v>
      </c>
      <c r="B171" s="142">
        <v>10</v>
      </c>
      <c r="C171" s="143">
        <v>273</v>
      </c>
      <c r="D171" s="143">
        <v>7.8</v>
      </c>
      <c r="E171" s="144" t="s">
        <v>93</v>
      </c>
      <c r="F171" s="144">
        <f t="shared" si="165"/>
        <v>51.01379726115116</v>
      </c>
      <c r="G171" s="145">
        <f t="shared" si="1"/>
        <v>3</v>
      </c>
      <c r="H171" s="145">
        <f t="shared" si="167"/>
        <v>2</v>
      </c>
      <c r="I171" s="145">
        <f t="shared" si="181"/>
        <v>2</v>
      </c>
      <c r="J171" s="146">
        <f t="shared" si="182"/>
        <v>4.45049653027797</v>
      </c>
      <c r="K171" s="147"/>
      <c r="L171" s="145">
        <f t="shared" si="183"/>
        <v>0</v>
      </c>
      <c r="M171" s="145">
        <f t="shared" si="184"/>
        <v>9</v>
      </c>
      <c r="N171" s="145">
        <f t="shared" si="185"/>
        <v>17.4</v>
      </c>
      <c r="O171" s="145">
        <f t="shared" si="186"/>
        <v>25.812879875612225</v>
      </c>
      <c r="P171" s="145">
        <f t="shared" si="187"/>
        <v>0</v>
      </c>
      <c r="Q171" s="145">
        <f t="shared" si="188"/>
        <v>33.80198612111188</v>
      </c>
      <c r="R171" s="147">
        <f t="shared" si="189"/>
        <v>77.0148659967241</v>
      </c>
      <c r="S171" s="147"/>
      <c r="T171" s="128">
        <f t="shared" si="190"/>
        <v>0</v>
      </c>
      <c r="U171" s="128">
        <f t="shared" si="191"/>
        <v>0</v>
      </c>
      <c r="V171" s="150">
        <f t="shared" si="192"/>
        <v>0.12087218829824471</v>
      </c>
      <c r="W171" s="150">
        <f t="shared" si="193"/>
        <v>0.9828889388399213</v>
      </c>
      <c r="X171" s="150">
        <f t="shared" si="166"/>
        <v>1.103761127138166</v>
      </c>
    </row>
    <row r="172" spans="1:24" ht="12.75">
      <c r="A172" s="141">
        <v>155</v>
      </c>
      <c r="B172" s="142">
        <v>10</v>
      </c>
      <c r="C172" s="143">
        <v>273</v>
      </c>
      <c r="D172" s="143">
        <v>9.27</v>
      </c>
      <c r="E172" s="144" t="s">
        <v>85</v>
      </c>
      <c r="F172" s="144">
        <f t="shared" si="165"/>
        <v>60.29187614964278</v>
      </c>
      <c r="G172" s="145">
        <f t="shared" si="1"/>
        <v>3</v>
      </c>
      <c r="H172" s="145">
        <f t="shared" si="167"/>
        <v>2</v>
      </c>
      <c r="I172" s="145">
        <f t="shared" si="181"/>
        <v>2</v>
      </c>
      <c r="J172" s="146">
        <f t="shared" si="182"/>
        <v>5.578467202607041</v>
      </c>
      <c r="K172" s="147"/>
      <c r="L172" s="145">
        <f t="shared" si="183"/>
        <v>0</v>
      </c>
      <c r="M172" s="145">
        <f t="shared" si="184"/>
        <v>9</v>
      </c>
      <c r="N172" s="145">
        <f t="shared" si="185"/>
        <v>21.81</v>
      </c>
      <c r="O172" s="145">
        <f t="shared" si="186"/>
        <v>40.55545656295319</v>
      </c>
      <c r="P172" s="145">
        <f t="shared" si="187"/>
        <v>0</v>
      </c>
      <c r="Q172" s="145">
        <f t="shared" si="188"/>
        <v>38.31386881042816</v>
      </c>
      <c r="R172" s="147">
        <f t="shared" si="189"/>
        <v>100.67932537338135</v>
      </c>
      <c r="S172" s="147"/>
      <c r="T172" s="128">
        <f t="shared" si="190"/>
        <v>0</v>
      </c>
      <c r="U172" s="128">
        <f t="shared" si="191"/>
        <v>0</v>
      </c>
      <c r="V172" s="150">
        <f t="shared" si="192"/>
        <v>0.11951272298226605</v>
      </c>
      <c r="W172" s="150">
        <f t="shared" si="193"/>
        <v>1.2813930299928973</v>
      </c>
      <c r="X172" s="150">
        <f t="shared" si="166"/>
        <v>1.4009057529751634</v>
      </c>
    </row>
    <row r="173" spans="1:24" ht="12.75">
      <c r="A173" s="141">
        <v>156</v>
      </c>
      <c r="B173" s="142">
        <v>10</v>
      </c>
      <c r="C173" s="143">
        <v>273</v>
      </c>
      <c r="D173" s="143">
        <v>9.27</v>
      </c>
      <c r="E173" s="144" t="s">
        <v>86</v>
      </c>
      <c r="F173" s="144">
        <f t="shared" si="165"/>
        <v>60.29187614964278</v>
      </c>
      <c r="G173" s="145">
        <f t="shared" si="1"/>
        <v>3</v>
      </c>
      <c r="H173" s="145">
        <f t="shared" si="167"/>
        <v>2</v>
      </c>
      <c r="I173" s="145">
        <f t="shared" si="181"/>
        <v>2</v>
      </c>
      <c r="J173" s="146">
        <f t="shared" si="182"/>
        <v>5.578467202607041</v>
      </c>
      <c r="K173" s="147"/>
      <c r="L173" s="145">
        <f t="shared" si="183"/>
        <v>0</v>
      </c>
      <c r="M173" s="145">
        <f t="shared" si="184"/>
        <v>9</v>
      </c>
      <c r="N173" s="145">
        <f t="shared" si="185"/>
        <v>21.81</v>
      </c>
      <c r="O173" s="145">
        <f t="shared" si="186"/>
        <v>40.55545656295319</v>
      </c>
      <c r="P173" s="145">
        <f t="shared" si="187"/>
        <v>0</v>
      </c>
      <c r="Q173" s="145">
        <f t="shared" si="188"/>
        <v>38.31386881042816</v>
      </c>
      <c r="R173" s="147">
        <f t="shared" si="189"/>
        <v>100.67932537338135</v>
      </c>
      <c r="S173" s="147"/>
      <c r="T173" s="128">
        <f t="shared" si="190"/>
        <v>0</v>
      </c>
      <c r="U173" s="128">
        <f t="shared" si="191"/>
        <v>0</v>
      </c>
      <c r="V173" s="150">
        <f t="shared" si="192"/>
        <v>0.11951272298226605</v>
      </c>
      <c r="W173" s="150">
        <f t="shared" si="193"/>
        <v>1.2813930299928973</v>
      </c>
      <c r="X173" s="150">
        <f t="shared" si="166"/>
        <v>1.4009057529751634</v>
      </c>
    </row>
    <row r="174" spans="1:24" ht="12.75">
      <c r="A174" s="141">
        <v>157</v>
      </c>
      <c r="B174" s="142">
        <v>10</v>
      </c>
      <c r="C174" s="143">
        <v>273</v>
      </c>
      <c r="D174" s="143">
        <v>9.27</v>
      </c>
      <c r="E174" s="144" t="s">
        <v>87</v>
      </c>
      <c r="F174" s="144">
        <f t="shared" si="165"/>
        <v>60.29187614964278</v>
      </c>
      <c r="G174" s="145">
        <f t="shared" si="1"/>
        <v>3</v>
      </c>
      <c r="H174" s="145">
        <f t="shared" si="167"/>
        <v>2</v>
      </c>
      <c r="I174" s="145">
        <f t="shared" si="181"/>
        <v>2</v>
      </c>
      <c r="J174" s="146">
        <f t="shared" si="182"/>
        <v>5.578467202607041</v>
      </c>
      <c r="K174" s="147"/>
      <c r="L174" s="145">
        <f t="shared" si="183"/>
        <v>0</v>
      </c>
      <c r="M174" s="145">
        <f t="shared" si="184"/>
        <v>9</v>
      </c>
      <c r="N174" s="145">
        <f t="shared" si="185"/>
        <v>21.81</v>
      </c>
      <c r="O174" s="145">
        <f t="shared" si="186"/>
        <v>40.55545656295319</v>
      </c>
      <c r="P174" s="145">
        <f t="shared" si="187"/>
        <v>0</v>
      </c>
      <c r="Q174" s="145">
        <f t="shared" si="188"/>
        <v>38.31386881042816</v>
      </c>
      <c r="R174" s="147">
        <f t="shared" si="189"/>
        <v>100.67932537338135</v>
      </c>
      <c r="S174" s="147"/>
      <c r="T174" s="128">
        <f t="shared" si="190"/>
        <v>0</v>
      </c>
      <c r="U174" s="128">
        <f t="shared" si="191"/>
        <v>0</v>
      </c>
      <c r="V174" s="150">
        <f t="shared" si="192"/>
        <v>0.11951272298226605</v>
      </c>
      <c r="W174" s="150">
        <f t="shared" si="193"/>
        <v>1.2813930299928973</v>
      </c>
      <c r="X174" s="150">
        <f t="shared" si="166"/>
        <v>1.4009057529751634</v>
      </c>
    </row>
    <row r="175" spans="1:24" ht="12.75">
      <c r="A175" s="141">
        <v>158</v>
      </c>
      <c r="B175" s="142">
        <v>10</v>
      </c>
      <c r="C175" s="143">
        <v>273</v>
      </c>
      <c r="D175" s="143">
        <v>12.7</v>
      </c>
      <c r="E175" s="144" t="s">
        <v>94</v>
      </c>
      <c r="F175" s="144">
        <f t="shared" si="165"/>
        <v>81.52624101978483</v>
      </c>
      <c r="G175" s="145">
        <f t="shared" si="1"/>
        <v>3</v>
      </c>
      <c r="H175" s="145">
        <f t="shared" si="167"/>
        <v>2</v>
      </c>
      <c r="I175" s="145">
        <f t="shared" si="181"/>
        <v>2</v>
      </c>
      <c r="J175" s="146">
        <f t="shared" si="182"/>
        <v>8.210398771374875</v>
      </c>
      <c r="K175" s="147"/>
      <c r="L175" s="145">
        <f t="shared" si="183"/>
        <v>0</v>
      </c>
      <c r="M175" s="145">
        <f t="shared" si="184"/>
        <v>9</v>
      </c>
      <c r="N175" s="145">
        <f t="shared" si="185"/>
        <v>32.099999999999994</v>
      </c>
      <c r="O175" s="145">
        <f t="shared" si="186"/>
        <v>87.85126685371115</v>
      </c>
      <c r="P175" s="145">
        <f t="shared" si="187"/>
        <v>0</v>
      </c>
      <c r="Q175" s="145">
        <f t="shared" si="188"/>
        <v>48.8415950854995</v>
      </c>
      <c r="R175" s="147">
        <f t="shared" si="189"/>
        <v>168.79286193921064</v>
      </c>
      <c r="S175" s="147"/>
      <c r="T175" s="128">
        <f t="shared" si="190"/>
        <v>0</v>
      </c>
      <c r="U175" s="128">
        <f t="shared" si="191"/>
        <v>0</v>
      </c>
      <c r="V175" s="150">
        <f t="shared" si="192"/>
        <v>0.11634063724498232</v>
      </c>
      <c r="W175" s="150">
        <f t="shared" si="193"/>
        <v>2.1345771232146595</v>
      </c>
      <c r="X175" s="150">
        <f t="shared" si="166"/>
        <v>2.2509177604596418</v>
      </c>
    </row>
    <row r="176" spans="1:24" ht="12.75">
      <c r="A176" s="141">
        <v>159</v>
      </c>
      <c r="B176" s="142">
        <v>10</v>
      </c>
      <c r="C176" s="143">
        <v>273</v>
      </c>
      <c r="D176" s="143">
        <v>12.7</v>
      </c>
      <c r="E176" s="144" t="s">
        <v>88</v>
      </c>
      <c r="F176" s="144">
        <f t="shared" si="165"/>
        <v>81.52624101978483</v>
      </c>
      <c r="G176" s="145">
        <f t="shared" si="1"/>
        <v>3</v>
      </c>
      <c r="H176" s="145">
        <f t="shared" si="167"/>
        <v>2</v>
      </c>
      <c r="I176" s="145">
        <f t="shared" si="181"/>
        <v>2</v>
      </c>
      <c r="J176" s="146">
        <f t="shared" si="182"/>
        <v>8.210398771374875</v>
      </c>
      <c r="K176" s="147"/>
      <c r="L176" s="145">
        <f t="shared" si="183"/>
        <v>0</v>
      </c>
      <c r="M176" s="145">
        <f t="shared" si="184"/>
        <v>9</v>
      </c>
      <c r="N176" s="145">
        <f t="shared" si="185"/>
        <v>32.099999999999994</v>
      </c>
      <c r="O176" s="145">
        <f t="shared" si="186"/>
        <v>87.85126685371115</v>
      </c>
      <c r="P176" s="145">
        <f t="shared" si="187"/>
        <v>0</v>
      </c>
      <c r="Q176" s="145">
        <f t="shared" si="188"/>
        <v>48.8415950854995</v>
      </c>
      <c r="R176" s="147">
        <f t="shared" si="189"/>
        <v>168.79286193921064</v>
      </c>
      <c r="S176" s="147"/>
      <c r="T176" s="128">
        <f t="shared" si="190"/>
        <v>0</v>
      </c>
      <c r="U176" s="128">
        <f t="shared" si="191"/>
        <v>0</v>
      </c>
      <c r="V176" s="150">
        <f t="shared" si="192"/>
        <v>0.11634063724498232</v>
      </c>
      <c r="W176" s="150">
        <f t="shared" si="193"/>
        <v>2.1345771232146595</v>
      </c>
      <c r="X176" s="150">
        <f t="shared" si="166"/>
        <v>2.2509177604596418</v>
      </c>
    </row>
    <row r="177" spans="1:24" ht="12.75">
      <c r="A177" s="141">
        <v>160</v>
      </c>
      <c r="B177" s="142">
        <v>10</v>
      </c>
      <c r="C177" s="143">
        <v>273</v>
      </c>
      <c r="D177" s="143">
        <v>12.7</v>
      </c>
      <c r="E177" s="144" t="s">
        <v>82</v>
      </c>
      <c r="F177" s="144">
        <f t="shared" si="165"/>
        <v>81.52624101978483</v>
      </c>
      <c r="G177" s="145">
        <f t="shared" si="1"/>
        <v>3</v>
      </c>
      <c r="H177" s="145">
        <f t="shared" si="167"/>
        <v>2</v>
      </c>
      <c r="I177" s="145">
        <f t="shared" si="181"/>
        <v>2</v>
      </c>
      <c r="J177" s="146">
        <f t="shared" si="182"/>
        <v>8.210398771374875</v>
      </c>
      <c r="K177" s="147"/>
      <c r="L177" s="145">
        <f t="shared" si="183"/>
        <v>0</v>
      </c>
      <c r="M177" s="145">
        <f t="shared" si="184"/>
        <v>9</v>
      </c>
      <c r="N177" s="145">
        <f t="shared" si="185"/>
        <v>32.099999999999994</v>
      </c>
      <c r="O177" s="145">
        <f t="shared" si="186"/>
        <v>87.85126685371115</v>
      </c>
      <c r="P177" s="145">
        <f t="shared" si="187"/>
        <v>0</v>
      </c>
      <c r="Q177" s="145">
        <f t="shared" si="188"/>
        <v>48.8415950854995</v>
      </c>
      <c r="R177" s="147">
        <f t="shared" si="189"/>
        <v>168.79286193921064</v>
      </c>
      <c r="S177" s="147"/>
      <c r="T177" s="128">
        <f t="shared" si="190"/>
        <v>0</v>
      </c>
      <c r="U177" s="128">
        <f t="shared" si="191"/>
        <v>0</v>
      </c>
      <c r="V177" s="150">
        <f t="shared" si="192"/>
        <v>0.11634063724498232</v>
      </c>
      <c r="W177" s="150">
        <f t="shared" si="193"/>
        <v>2.1345771232146595</v>
      </c>
      <c r="X177" s="150">
        <f t="shared" si="166"/>
        <v>2.2509177604596418</v>
      </c>
    </row>
    <row r="178" spans="1:24" ht="12.75">
      <c r="A178" s="141">
        <v>161</v>
      </c>
      <c r="B178" s="142">
        <v>10</v>
      </c>
      <c r="C178" s="143">
        <v>273</v>
      </c>
      <c r="D178" s="143">
        <v>15.09</v>
      </c>
      <c r="E178" s="144" t="s">
        <v>89</v>
      </c>
      <c r="F178" s="144">
        <f t="shared" si="165"/>
        <v>95.9791613175342</v>
      </c>
      <c r="G178" s="145">
        <f t="shared" si="1"/>
        <v>3</v>
      </c>
      <c r="H178" s="145">
        <f t="shared" si="167"/>
        <v>2</v>
      </c>
      <c r="I178" s="145">
        <f t="shared" si="181"/>
        <v>2</v>
      </c>
      <c r="J178" s="146">
        <f t="shared" si="182"/>
        <v>10.04431027264459</v>
      </c>
      <c r="K178" s="147"/>
      <c r="L178" s="145">
        <f t="shared" si="183"/>
        <v>0</v>
      </c>
      <c r="M178" s="145">
        <f t="shared" si="184"/>
        <v>9</v>
      </c>
      <c r="N178" s="145">
        <f t="shared" si="185"/>
        <v>39.269999999999996</v>
      </c>
      <c r="O178" s="145">
        <f t="shared" si="186"/>
        <v>131.4800214689177</v>
      </c>
      <c r="P178" s="145">
        <f t="shared" si="187"/>
        <v>0</v>
      </c>
      <c r="Q178" s="145">
        <f t="shared" si="188"/>
        <v>56.17724109057836</v>
      </c>
      <c r="R178" s="147">
        <f t="shared" si="189"/>
        <v>226.92726255949606</v>
      </c>
      <c r="S178" s="147"/>
      <c r="T178" s="128">
        <f t="shared" si="190"/>
        <v>0</v>
      </c>
      <c r="U178" s="128">
        <f t="shared" si="191"/>
        <v>0</v>
      </c>
      <c r="V178" s="150">
        <f t="shared" si="192"/>
        <v>0.11413035009859515</v>
      </c>
      <c r="W178" s="150">
        <f t="shared" si="193"/>
        <v>2.856891651782002</v>
      </c>
      <c r="X178" s="150">
        <f t="shared" si="166"/>
        <v>2.9710220018805975</v>
      </c>
    </row>
    <row r="179" spans="1:24" ht="12.75">
      <c r="A179" s="141">
        <v>162</v>
      </c>
      <c r="B179" s="142">
        <v>10</v>
      </c>
      <c r="C179" s="143">
        <v>273</v>
      </c>
      <c r="D179" s="143">
        <v>18.26</v>
      </c>
      <c r="E179" s="144" t="s">
        <v>95</v>
      </c>
      <c r="F179" s="144">
        <f t="shared" si="165"/>
        <v>114.71427035387958</v>
      </c>
      <c r="G179" s="145">
        <f t="shared" si="1"/>
        <v>3</v>
      </c>
      <c r="H179" s="145">
        <f t="shared" si="167"/>
        <v>2</v>
      </c>
      <c r="I179" s="145">
        <f t="shared" si="181"/>
        <v>2</v>
      </c>
      <c r="J179" s="146">
        <f t="shared" si="182"/>
        <v>12.476736824537896</v>
      </c>
      <c r="K179" s="147"/>
      <c r="L179" s="145">
        <f t="shared" si="183"/>
        <v>0</v>
      </c>
      <c r="M179" s="145">
        <f t="shared" si="184"/>
        <v>9</v>
      </c>
      <c r="N179" s="145">
        <f t="shared" si="185"/>
        <v>48.78</v>
      </c>
      <c r="O179" s="145">
        <f t="shared" si="186"/>
        <v>202.87174076698622</v>
      </c>
      <c r="P179" s="145">
        <f t="shared" si="187"/>
        <v>0</v>
      </c>
      <c r="Q179" s="145">
        <f t="shared" si="188"/>
        <v>65.90694729815158</v>
      </c>
      <c r="R179" s="147">
        <f t="shared" si="189"/>
        <v>317.5586880651378</v>
      </c>
      <c r="S179" s="147"/>
      <c r="T179" s="128">
        <f t="shared" si="190"/>
        <v>0</v>
      </c>
      <c r="U179" s="128">
        <f t="shared" si="191"/>
        <v>0</v>
      </c>
      <c r="V179" s="150">
        <f t="shared" si="192"/>
        <v>0.11119871400903557</v>
      </c>
      <c r="W179" s="150">
        <f t="shared" si="193"/>
        <v>3.974021404540375</v>
      </c>
      <c r="X179" s="150">
        <f t="shared" si="166"/>
        <v>4.085220118549411</v>
      </c>
    </row>
    <row r="180" spans="1:24" ht="12.75">
      <c r="A180" s="141">
        <v>163</v>
      </c>
      <c r="B180" s="142">
        <v>10</v>
      </c>
      <c r="C180" s="143">
        <v>273</v>
      </c>
      <c r="D180" s="143">
        <v>21.44</v>
      </c>
      <c r="E180" s="144" t="s">
        <v>91</v>
      </c>
      <c r="F180" s="144">
        <f t="shared" si="165"/>
        <v>133.01049096399697</v>
      </c>
      <c r="G180" s="145">
        <f t="shared" si="1"/>
        <v>3</v>
      </c>
      <c r="H180" s="145">
        <f t="shared" si="167"/>
        <v>2</v>
      </c>
      <c r="I180" s="145">
        <f t="shared" si="181"/>
        <v>3</v>
      </c>
      <c r="J180" s="146">
        <f t="shared" si="182"/>
        <v>13.044558795642326</v>
      </c>
      <c r="K180" s="147"/>
      <c r="L180" s="145">
        <f t="shared" si="183"/>
        <v>0.43023783292865475</v>
      </c>
      <c r="M180" s="145">
        <f t="shared" si="184"/>
        <v>9</v>
      </c>
      <c r="N180" s="145">
        <f t="shared" si="185"/>
        <v>58.32000000000001</v>
      </c>
      <c r="O180" s="145">
        <f t="shared" si="186"/>
        <v>221.75749952591954</v>
      </c>
      <c r="P180" s="145">
        <f t="shared" si="187"/>
        <v>64.70722723508051</v>
      </c>
      <c r="Q180" s="145">
        <f t="shared" si="188"/>
        <v>104.84877977142587</v>
      </c>
      <c r="R180" s="147">
        <f t="shared" si="189"/>
        <v>449.63350653242594</v>
      </c>
      <c r="S180" s="147"/>
      <c r="T180" s="128">
        <f t="shared" si="190"/>
        <v>0</v>
      </c>
      <c r="U180" s="128">
        <f t="shared" si="191"/>
        <v>0</v>
      </c>
      <c r="V180" s="150">
        <f t="shared" si="192"/>
        <v>0.10825782985610201</v>
      </c>
      <c r="W180" s="150">
        <f t="shared" si="193"/>
        <v>5.592938296408298</v>
      </c>
      <c r="X180" s="150">
        <f t="shared" si="166"/>
        <v>5.7011961262644</v>
      </c>
    </row>
    <row r="181" spans="1:24" ht="12.75">
      <c r="A181" s="141">
        <v>164</v>
      </c>
      <c r="B181" s="142">
        <v>10</v>
      </c>
      <c r="C181" s="143">
        <v>273</v>
      </c>
      <c r="D181" s="143">
        <v>25.4</v>
      </c>
      <c r="E181" s="144" t="s">
        <v>96</v>
      </c>
      <c r="F181" s="144">
        <f t="shared" si="165"/>
        <v>155.09717461773894</v>
      </c>
      <c r="G181" s="145">
        <f t="shared" si="1"/>
        <v>3</v>
      </c>
      <c r="H181" s="145">
        <f t="shared" si="167"/>
        <v>2</v>
      </c>
      <c r="I181" s="145">
        <f t="shared" si="181"/>
        <v>3</v>
      </c>
      <c r="J181" s="146">
        <f t="shared" si="182"/>
        <v>13.044558795642326</v>
      </c>
      <c r="K181" s="147"/>
      <c r="L181" s="145">
        <f t="shared" si="183"/>
        <v>1.1284926765341756</v>
      </c>
      <c r="M181" s="145">
        <f t="shared" si="184"/>
        <v>9</v>
      </c>
      <c r="N181" s="145">
        <f t="shared" si="185"/>
        <v>70.19999999999999</v>
      </c>
      <c r="O181" s="145">
        <f t="shared" si="186"/>
        <v>221.75749952591954</v>
      </c>
      <c r="P181" s="145">
        <f t="shared" si="187"/>
        <v>174.19270571404044</v>
      </c>
      <c r="Q181" s="145">
        <f t="shared" si="188"/>
        <v>109.03830883305902</v>
      </c>
      <c r="R181" s="147">
        <f t="shared" si="189"/>
        <v>575.188514073019</v>
      </c>
      <c r="S181" s="147"/>
      <c r="T181" s="128">
        <f t="shared" si="190"/>
        <v>0</v>
      </c>
      <c r="U181" s="128">
        <f t="shared" si="191"/>
        <v>0</v>
      </c>
      <c r="V181" s="150">
        <f t="shared" si="192"/>
        <v>0.10459559675999602</v>
      </c>
      <c r="W181" s="150">
        <f t="shared" si="193"/>
        <v>7.100690101473176</v>
      </c>
      <c r="X181" s="150">
        <f t="shared" si="166"/>
        <v>7.205285698233172</v>
      </c>
    </row>
    <row r="182" spans="1:24" ht="12.75">
      <c r="A182" s="141">
        <v>165</v>
      </c>
      <c r="B182" s="142">
        <v>10</v>
      </c>
      <c r="C182" s="143">
        <v>273</v>
      </c>
      <c r="D182" s="143">
        <v>25.4</v>
      </c>
      <c r="E182" s="144" t="s">
        <v>83</v>
      </c>
      <c r="F182" s="144">
        <f t="shared" si="165"/>
        <v>155.09717461773894</v>
      </c>
      <c r="G182" s="145">
        <f t="shared" si="1"/>
        <v>3</v>
      </c>
      <c r="H182" s="145">
        <f t="shared" si="167"/>
        <v>2</v>
      </c>
      <c r="I182" s="145">
        <f t="shared" si="181"/>
        <v>3</v>
      </c>
      <c r="J182" s="146">
        <f t="shared" si="182"/>
        <v>13.044558795642326</v>
      </c>
      <c r="K182" s="147"/>
      <c r="L182" s="145">
        <f t="shared" si="183"/>
        <v>1.1284926765341756</v>
      </c>
      <c r="M182" s="145">
        <f t="shared" si="184"/>
        <v>9</v>
      </c>
      <c r="N182" s="145">
        <f t="shared" si="185"/>
        <v>70.19999999999999</v>
      </c>
      <c r="O182" s="145">
        <f t="shared" si="186"/>
        <v>221.75749952591954</v>
      </c>
      <c r="P182" s="145">
        <f t="shared" si="187"/>
        <v>174.19270571404044</v>
      </c>
      <c r="Q182" s="145">
        <f t="shared" si="188"/>
        <v>109.03830883305902</v>
      </c>
      <c r="R182" s="147">
        <f t="shared" si="189"/>
        <v>575.188514073019</v>
      </c>
      <c r="S182" s="147"/>
      <c r="T182" s="128">
        <f t="shared" si="190"/>
        <v>0</v>
      </c>
      <c r="U182" s="128">
        <f t="shared" si="191"/>
        <v>0</v>
      </c>
      <c r="V182" s="150">
        <f t="shared" si="192"/>
        <v>0.10459559675999602</v>
      </c>
      <c r="W182" s="150">
        <f t="shared" si="193"/>
        <v>7.100690101473176</v>
      </c>
      <c r="X182" s="150">
        <f t="shared" si="166"/>
        <v>7.205285698233172</v>
      </c>
    </row>
    <row r="183" spans="1:24" ht="12.75">
      <c r="A183" s="141">
        <v>166</v>
      </c>
      <c r="B183" s="142">
        <v>10</v>
      </c>
      <c r="C183" s="143">
        <v>273</v>
      </c>
      <c r="D183" s="143">
        <v>28.58</v>
      </c>
      <c r="E183" s="144" t="s">
        <v>90</v>
      </c>
      <c r="F183" s="144">
        <f t="shared" si="165"/>
        <v>172.27350654241928</v>
      </c>
      <c r="G183" s="145">
        <f t="shared" si="1"/>
        <v>3</v>
      </c>
      <c r="H183" s="145">
        <f t="shared" si="167"/>
        <v>2</v>
      </c>
      <c r="I183" s="145">
        <f t="shared" si="181"/>
        <v>3</v>
      </c>
      <c r="J183" s="146">
        <f t="shared" si="182"/>
        <v>13.044558795642326</v>
      </c>
      <c r="K183" s="147"/>
      <c r="L183" s="145">
        <f t="shared" si="183"/>
        <v>1.689212475187094</v>
      </c>
      <c r="M183" s="145">
        <f t="shared" si="184"/>
        <v>9</v>
      </c>
      <c r="N183" s="145">
        <f t="shared" si="185"/>
        <v>79.74</v>
      </c>
      <c r="O183" s="145">
        <f t="shared" si="186"/>
        <v>221.75749952591954</v>
      </c>
      <c r="P183" s="145">
        <f t="shared" si="187"/>
        <v>266.1164020367993</v>
      </c>
      <c r="Q183" s="145">
        <f t="shared" si="188"/>
        <v>112.40262762497653</v>
      </c>
      <c r="R183" s="147">
        <f t="shared" si="189"/>
        <v>680.0165291876954</v>
      </c>
      <c r="S183" s="147"/>
      <c r="T183" s="128">
        <f t="shared" si="190"/>
        <v>0</v>
      </c>
      <c r="U183" s="128">
        <f t="shared" si="191"/>
        <v>0</v>
      </c>
      <c r="V183" s="150">
        <f t="shared" si="192"/>
        <v>0.10165471260706246</v>
      </c>
      <c r="W183" s="150">
        <f t="shared" si="193"/>
        <v>8.343511541091003</v>
      </c>
      <c r="X183" s="150">
        <f t="shared" si="166"/>
        <v>8.445166253698066</v>
      </c>
    </row>
    <row r="184" spans="1:24" ht="12.75">
      <c r="A184" s="141">
        <v>167</v>
      </c>
      <c r="B184" s="142"/>
      <c r="C184" s="143"/>
      <c r="D184" s="143"/>
      <c r="E184" s="144"/>
      <c r="F184" s="144">
        <f t="shared" si="165"/>
        <v>0</v>
      </c>
      <c r="G184" s="145"/>
      <c r="H184" s="145">
        <f t="shared" si="167"/>
        <v>0</v>
      </c>
      <c r="I184" s="145"/>
      <c r="J184" s="146"/>
      <c r="K184" s="147"/>
      <c r="L184" s="145"/>
      <c r="M184" s="145"/>
      <c r="N184" s="145"/>
      <c r="O184" s="145"/>
      <c r="P184" s="145"/>
      <c r="Q184" s="145"/>
      <c r="R184" s="147"/>
      <c r="S184" s="147"/>
      <c r="T184" s="128"/>
      <c r="U184" s="128"/>
      <c r="V184" s="150"/>
      <c r="W184" s="150"/>
      <c r="X184" s="150">
        <f t="shared" si="166"/>
        <v>0</v>
      </c>
    </row>
    <row r="185" spans="1:24" ht="12.75">
      <c r="A185" s="141">
        <v>168</v>
      </c>
      <c r="B185" s="142">
        <v>12</v>
      </c>
      <c r="C185" s="143">
        <v>323.4</v>
      </c>
      <c r="D185" s="143">
        <v>3.96</v>
      </c>
      <c r="E185" s="144" t="s">
        <v>81</v>
      </c>
      <c r="F185" s="144">
        <f t="shared" si="165"/>
        <v>31.19636640586902</v>
      </c>
      <c r="G185" s="145">
        <f t="shared" si="1"/>
        <v>3</v>
      </c>
      <c r="H185" s="145">
        <f t="shared" si="167"/>
        <v>2</v>
      </c>
      <c r="I185" s="145">
        <f>IF(D185&lt;=19,2,3)</f>
        <v>2</v>
      </c>
      <c r="J185" s="146">
        <f>IF(D185&lt;=19,(D185-H185)*TAN($C$8*PI()/180),(19-H185)*TAN($C$8*PI()/180))</f>
        <v>1.5039608964387623</v>
      </c>
      <c r="K185" s="147"/>
      <c r="L185" s="145">
        <f>IF(D185&lt;=19,0,(D185-19)*TAN($C$10*PI()/180))</f>
        <v>0</v>
      </c>
      <c r="M185" s="145">
        <f>+G185*(H185*1.5)</f>
        <v>9</v>
      </c>
      <c r="N185" s="145">
        <f>+G185*(D185-H185)</f>
        <v>5.88</v>
      </c>
      <c r="O185" s="145">
        <f>IF(D185&lt;=19,(D185-H185)*J185,(19-H185)*J185)</f>
        <v>2.947763357019974</v>
      </c>
      <c r="P185" s="145">
        <f>IF(D185&lt;=19,0,(J185*(D185-19)*2)+((L185)*(D185-19)))</f>
        <v>0</v>
      </c>
      <c r="Q185" s="145">
        <f>+(5+G185+(2*(J185+L185)))*I185</f>
        <v>22.01584358575505</v>
      </c>
      <c r="R185" s="147">
        <f>SUM(N185:Q185)</f>
        <v>30.843606942775025</v>
      </c>
      <c r="S185" s="147"/>
      <c r="T185" s="128">
        <f>IF(D$6=1,(PI()*(C185-(2*D185)+(2*H185))*M185*0.1*0.01*7.85*0.001/(T$16*T$17)),0)</f>
        <v>0</v>
      </c>
      <c r="U185" s="128">
        <f>IF(D$6=1,(PI()*(C185-(0.5*D185))*(R185)*0.1*0.01*7.85*0.001/(U$16*U$17)),0)</f>
        <v>0</v>
      </c>
      <c r="V185" s="150">
        <f>IF(D$6=1,0,(PI()*(C185-(2*D185)+(2*H185))*M185*0.1*0.01*7.85*0.001/(V$16*V$17)))</f>
        <v>0.14772856433635512</v>
      </c>
      <c r="W185" s="150">
        <f>IF(D$6=1,0,(PI()*(C185-(0.5*D185))*(R185)*0.1*0.01*7.85*0.001/(W$16*W$17)))</f>
        <v>0.470169272295886</v>
      </c>
      <c r="X185" s="150">
        <f t="shared" si="166"/>
        <v>0.6178978366322412</v>
      </c>
    </row>
    <row r="186" spans="1:24" ht="12.75">
      <c r="A186" s="141">
        <v>169</v>
      </c>
      <c r="B186" s="142">
        <v>12</v>
      </c>
      <c r="C186" s="143">
        <v>323.4</v>
      </c>
      <c r="D186" s="143">
        <v>4.57</v>
      </c>
      <c r="E186" s="144" t="s">
        <v>84</v>
      </c>
      <c r="F186" s="144">
        <f t="shared" si="165"/>
        <v>35.933118421574335</v>
      </c>
      <c r="G186" s="145">
        <f t="shared" si="1"/>
        <v>3</v>
      </c>
      <c r="H186" s="145">
        <f t="shared" si="167"/>
        <v>2</v>
      </c>
      <c r="I186" s="145">
        <f aca="true" t="shared" si="194" ref="I186:I200">IF(D186&lt;=19,2,3)</f>
        <v>2</v>
      </c>
      <c r="J186" s="146">
        <f aca="true" t="shared" si="195" ref="J186:J200">IF(D186&lt;=19,(D186-H186)*TAN($C$8*PI()/180),(19-H186)*TAN($C$8*PI()/180))</f>
        <v>1.9720303591059283</v>
      </c>
      <c r="K186" s="147"/>
      <c r="L186" s="145">
        <f aca="true" t="shared" si="196" ref="L186:L200">IF(D186&lt;=19,0,(D186-19)*TAN($C$10*PI()/180))</f>
        <v>0</v>
      </c>
      <c r="M186" s="145">
        <f aca="true" t="shared" si="197" ref="M186:M200">+G186*(H186*1.5)</f>
        <v>9</v>
      </c>
      <c r="N186" s="145">
        <f aca="true" t="shared" si="198" ref="N186:N200">+G186*(D186-H186)</f>
        <v>7.710000000000001</v>
      </c>
      <c r="O186" s="145">
        <f aca="true" t="shared" si="199" ref="O186:O200">IF(D186&lt;=19,(D186-H186)*J186,(19-H186)*J186)</f>
        <v>5.068118022902237</v>
      </c>
      <c r="P186" s="145">
        <f aca="true" t="shared" si="200" ref="P186:P200">IF(D186&lt;=19,0,(J186*(D186-19)*2)+((L186)*(D186-19)))</f>
        <v>0</v>
      </c>
      <c r="Q186" s="145">
        <f aca="true" t="shared" si="201" ref="Q186:Q200">+(5+G186+(2*(J186+L186)))*I186</f>
        <v>23.888121436423713</v>
      </c>
      <c r="R186" s="147">
        <f aca="true" t="shared" si="202" ref="R186:R200">SUM(N186:Q186)</f>
        <v>36.66623945932595</v>
      </c>
      <c r="S186" s="147"/>
      <c r="T186" s="128">
        <f aca="true" t="shared" si="203" ref="T186:T200">IF(D$6=1,(PI()*(C186-(2*D186)+(2*H186))*M186*0.1*0.01*7.85*0.001/(T$16*T$17)),0)</f>
        <v>0</v>
      </c>
      <c r="U186" s="128">
        <f aca="true" t="shared" si="204" ref="U186:U200">IF(D$6=1,(PI()*(C186-(0.5*D186))*(R186)*0.1*0.01*7.85*0.001/(U$16*U$17)),0)</f>
        <v>0</v>
      </c>
      <c r="V186" s="150">
        <f aca="true" t="shared" si="205" ref="V186:V200">IF(D$6=1,0,(PI()*(C186-(2*D186)+(2*H186))*M186*0.1*0.01*7.85*0.001/(V$16*V$17)))</f>
        <v>0.1471644324705408</v>
      </c>
      <c r="W186" s="150">
        <f aca="true" t="shared" si="206" ref="W186:W200">IF(D$6=1,0,(PI()*(C186-(0.5*D186))*(R186)*0.1*0.01*7.85*0.001/(W$16*W$17)))</f>
        <v>0.5583970935304204</v>
      </c>
      <c r="X186" s="150">
        <f t="shared" si="166"/>
        <v>0.7055615260009612</v>
      </c>
    </row>
    <row r="187" spans="1:24" ht="12.75">
      <c r="A187" s="141">
        <v>170</v>
      </c>
      <c r="B187" s="142">
        <v>12</v>
      </c>
      <c r="C187" s="143">
        <v>323.4</v>
      </c>
      <c r="D187" s="143">
        <v>6.35</v>
      </c>
      <c r="E187" s="144" t="s">
        <v>92</v>
      </c>
      <c r="F187" s="144">
        <f t="shared" si="165"/>
        <v>49.65020114353203</v>
      </c>
      <c r="G187" s="145">
        <f t="shared" si="1"/>
        <v>3</v>
      </c>
      <c r="H187" s="145">
        <f t="shared" si="167"/>
        <v>2</v>
      </c>
      <c r="I187" s="145">
        <f t="shared" si="194"/>
        <v>2</v>
      </c>
      <c r="J187" s="146">
        <f t="shared" si="195"/>
        <v>3.337872397708477</v>
      </c>
      <c r="K187" s="147"/>
      <c r="L187" s="145">
        <f t="shared" si="196"/>
        <v>0</v>
      </c>
      <c r="M187" s="145">
        <f t="shared" si="197"/>
        <v>9</v>
      </c>
      <c r="N187" s="145">
        <f t="shared" si="198"/>
        <v>13.049999999999999</v>
      </c>
      <c r="O187" s="145">
        <f t="shared" si="199"/>
        <v>14.519744930031875</v>
      </c>
      <c r="P187" s="145">
        <f t="shared" si="200"/>
        <v>0</v>
      </c>
      <c r="Q187" s="145">
        <f t="shared" si="201"/>
        <v>29.351489590833907</v>
      </c>
      <c r="R187" s="147">
        <f t="shared" si="202"/>
        <v>56.92123452086578</v>
      </c>
      <c r="S187" s="147"/>
      <c r="T187" s="128">
        <f t="shared" si="203"/>
        <v>0</v>
      </c>
      <c r="U187" s="128">
        <f t="shared" si="204"/>
        <v>0</v>
      </c>
      <c r="V187" s="150">
        <f t="shared" si="205"/>
        <v>0.14551827718996796</v>
      </c>
      <c r="W187" s="150">
        <f t="shared" si="206"/>
        <v>0.8644616484749763</v>
      </c>
      <c r="X187" s="150">
        <f t="shared" si="166"/>
        <v>1.0099799256649442</v>
      </c>
    </row>
    <row r="188" spans="1:24" ht="12.75">
      <c r="A188" s="141">
        <v>171</v>
      </c>
      <c r="B188" s="142">
        <v>12</v>
      </c>
      <c r="C188" s="143">
        <v>323.4</v>
      </c>
      <c r="D188" s="143">
        <v>8.38</v>
      </c>
      <c r="E188" s="144" t="s">
        <v>93</v>
      </c>
      <c r="F188" s="144">
        <f t="shared" si="165"/>
        <v>65.10310097008629</v>
      </c>
      <c r="G188" s="145">
        <f t="shared" si="1"/>
        <v>3</v>
      </c>
      <c r="H188" s="145">
        <f t="shared" si="167"/>
        <v>2</v>
      </c>
      <c r="I188" s="145">
        <f t="shared" si="194"/>
        <v>2</v>
      </c>
      <c r="J188" s="146">
        <f t="shared" si="195"/>
        <v>4.895546183305767</v>
      </c>
      <c r="K188" s="147"/>
      <c r="L188" s="145">
        <f t="shared" si="196"/>
        <v>0</v>
      </c>
      <c r="M188" s="145">
        <f t="shared" si="197"/>
        <v>9</v>
      </c>
      <c r="N188" s="145">
        <f t="shared" si="198"/>
        <v>19.14</v>
      </c>
      <c r="O188" s="145">
        <f t="shared" si="199"/>
        <v>31.2335846494908</v>
      </c>
      <c r="P188" s="145">
        <f t="shared" si="200"/>
        <v>0</v>
      </c>
      <c r="Q188" s="145">
        <f t="shared" si="201"/>
        <v>35.58218473322307</v>
      </c>
      <c r="R188" s="147">
        <f t="shared" si="202"/>
        <v>85.95576938271387</v>
      </c>
      <c r="S188" s="147"/>
      <c r="T188" s="128">
        <f t="shared" si="203"/>
        <v>0</v>
      </c>
      <c r="U188" s="128">
        <f t="shared" si="204"/>
        <v>0</v>
      </c>
      <c r="V188" s="150">
        <f t="shared" si="205"/>
        <v>0.14364092032504494</v>
      </c>
      <c r="W188" s="150">
        <f t="shared" si="206"/>
        <v>1.3012708643999875</v>
      </c>
      <c r="X188" s="150">
        <f t="shared" si="166"/>
        <v>1.4449117847250323</v>
      </c>
    </row>
    <row r="189" spans="1:24" ht="12.75">
      <c r="A189" s="141">
        <v>172</v>
      </c>
      <c r="B189" s="142">
        <v>12</v>
      </c>
      <c r="C189" s="143">
        <v>323.4</v>
      </c>
      <c r="D189" s="143">
        <v>9.52</v>
      </c>
      <c r="E189" s="144" t="s">
        <v>85</v>
      </c>
      <c r="F189" s="144">
        <f t="shared" si="165"/>
        <v>73.69196238679216</v>
      </c>
      <c r="G189" s="145">
        <f t="shared" si="1"/>
        <v>3</v>
      </c>
      <c r="H189" s="145">
        <f t="shared" si="167"/>
        <v>2</v>
      </c>
      <c r="I189" s="145">
        <f t="shared" si="194"/>
        <v>2</v>
      </c>
      <c r="J189" s="146">
        <f t="shared" si="195"/>
        <v>5.770298949601782</v>
      </c>
      <c r="K189" s="147"/>
      <c r="L189" s="145">
        <f t="shared" si="196"/>
        <v>0</v>
      </c>
      <c r="M189" s="145">
        <f t="shared" si="197"/>
        <v>9</v>
      </c>
      <c r="N189" s="145">
        <f t="shared" si="198"/>
        <v>22.56</v>
      </c>
      <c r="O189" s="145">
        <f t="shared" si="199"/>
        <v>43.39264810100539</v>
      </c>
      <c r="P189" s="145">
        <f t="shared" si="200"/>
        <v>0</v>
      </c>
      <c r="Q189" s="145">
        <f t="shared" si="201"/>
        <v>39.08119579840712</v>
      </c>
      <c r="R189" s="147">
        <f t="shared" si="202"/>
        <v>105.03384389941252</v>
      </c>
      <c r="S189" s="147"/>
      <c r="T189" s="128">
        <f t="shared" si="203"/>
        <v>0</v>
      </c>
      <c r="U189" s="128">
        <f t="shared" si="204"/>
        <v>0</v>
      </c>
      <c r="V189" s="150">
        <f t="shared" si="205"/>
        <v>0.14258664110040833</v>
      </c>
      <c r="W189" s="150">
        <f t="shared" si="206"/>
        <v>1.5872514729135965</v>
      </c>
      <c r="X189" s="150">
        <f t="shared" si="166"/>
        <v>1.729838114014005</v>
      </c>
    </row>
    <row r="190" spans="1:24" ht="12.75">
      <c r="A190" s="141">
        <v>173</v>
      </c>
      <c r="B190" s="142">
        <v>12</v>
      </c>
      <c r="C190" s="143">
        <v>323.4</v>
      </c>
      <c r="D190" s="143">
        <v>9.52</v>
      </c>
      <c r="E190" s="144" t="s">
        <v>86</v>
      </c>
      <c r="F190" s="144">
        <f t="shared" si="165"/>
        <v>73.69196238679216</v>
      </c>
      <c r="G190" s="145">
        <f t="shared" si="1"/>
        <v>3</v>
      </c>
      <c r="H190" s="145">
        <f t="shared" si="167"/>
        <v>2</v>
      </c>
      <c r="I190" s="145">
        <f t="shared" si="194"/>
        <v>2</v>
      </c>
      <c r="J190" s="146">
        <f t="shared" si="195"/>
        <v>5.770298949601782</v>
      </c>
      <c r="K190" s="147"/>
      <c r="L190" s="145">
        <f t="shared" si="196"/>
        <v>0</v>
      </c>
      <c r="M190" s="145">
        <f t="shared" si="197"/>
        <v>9</v>
      </c>
      <c r="N190" s="145">
        <f t="shared" si="198"/>
        <v>22.56</v>
      </c>
      <c r="O190" s="145">
        <f t="shared" si="199"/>
        <v>43.39264810100539</v>
      </c>
      <c r="P190" s="145">
        <f t="shared" si="200"/>
        <v>0</v>
      </c>
      <c r="Q190" s="145">
        <f t="shared" si="201"/>
        <v>39.08119579840712</v>
      </c>
      <c r="R190" s="147">
        <f t="shared" si="202"/>
        <v>105.03384389941252</v>
      </c>
      <c r="S190" s="147"/>
      <c r="T190" s="128">
        <f t="shared" si="203"/>
        <v>0</v>
      </c>
      <c r="U190" s="128">
        <f t="shared" si="204"/>
        <v>0</v>
      </c>
      <c r="V190" s="150">
        <f t="shared" si="205"/>
        <v>0.14258664110040833</v>
      </c>
      <c r="W190" s="150">
        <f t="shared" si="206"/>
        <v>1.5872514729135965</v>
      </c>
      <c r="X190" s="150">
        <f t="shared" si="166"/>
        <v>1.729838114014005</v>
      </c>
    </row>
    <row r="191" spans="1:24" ht="12.75">
      <c r="A191" s="141">
        <v>174</v>
      </c>
      <c r="B191" s="142">
        <v>12</v>
      </c>
      <c r="C191" s="143">
        <v>323.4</v>
      </c>
      <c r="D191" s="143">
        <v>10.31</v>
      </c>
      <c r="E191" s="144" t="s">
        <v>87</v>
      </c>
      <c r="F191" s="144">
        <f t="shared" si="165"/>
        <v>79.6062912741865</v>
      </c>
      <c r="G191" s="145">
        <f t="shared" si="1"/>
        <v>3</v>
      </c>
      <c r="H191" s="145">
        <f t="shared" si="167"/>
        <v>2</v>
      </c>
      <c r="I191" s="145">
        <f t="shared" si="194"/>
        <v>2</v>
      </c>
      <c r="J191" s="146">
        <f t="shared" si="195"/>
        <v>6.376487270105161</v>
      </c>
      <c r="K191" s="147"/>
      <c r="L191" s="145">
        <f t="shared" si="196"/>
        <v>0</v>
      </c>
      <c r="M191" s="145">
        <f t="shared" si="197"/>
        <v>9</v>
      </c>
      <c r="N191" s="145">
        <f t="shared" si="198"/>
        <v>24.93</v>
      </c>
      <c r="O191" s="145">
        <f t="shared" si="199"/>
        <v>52.98860921457389</v>
      </c>
      <c r="P191" s="145">
        <f t="shared" si="200"/>
        <v>0</v>
      </c>
      <c r="Q191" s="145">
        <f t="shared" si="201"/>
        <v>41.50594908042065</v>
      </c>
      <c r="R191" s="147">
        <f t="shared" si="202"/>
        <v>119.42455829499454</v>
      </c>
      <c r="S191" s="147"/>
      <c r="T191" s="128">
        <f t="shared" si="203"/>
        <v>0</v>
      </c>
      <c r="U191" s="128">
        <f t="shared" si="204"/>
        <v>0</v>
      </c>
      <c r="V191" s="150">
        <f t="shared" si="205"/>
        <v>0.141856044093862</v>
      </c>
      <c r="W191" s="150">
        <f t="shared" si="206"/>
        <v>1.8024840010374612</v>
      </c>
      <c r="X191" s="150">
        <f t="shared" si="166"/>
        <v>1.944340045131323</v>
      </c>
    </row>
    <row r="192" spans="1:24" ht="12.75">
      <c r="A192" s="141">
        <v>175</v>
      </c>
      <c r="B192" s="142">
        <v>12</v>
      </c>
      <c r="C192" s="143">
        <v>323.4</v>
      </c>
      <c r="D192" s="143">
        <v>12.7</v>
      </c>
      <c r="E192" s="144" t="s">
        <v>88</v>
      </c>
      <c r="F192" s="144">
        <f t="shared" si="165"/>
        <v>97.3115754316064</v>
      </c>
      <c r="G192" s="145">
        <f t="shared" si="1"/>
        <v>3</v>
      </c>
      <c r="H192" s="145">
        <f t="shared" si="167"/>
        <v>2</v>
      </c>
      <c r="I192" s="145">
        <f t="shared" si="194"/>
        <v>2</v>
      </c>
      <c r="J192" s="146">
        <f t="shared" si="195"/>
        <v>8.210398771374875</v>
      </c>
      <c r="K192" s="147"/>
      <c r="L192" s="145">
        <f t="shared" si="196"/>
        <v>0</v>
      </c>
      <c r="M192" s="145">
        <f t="shared" si="197"/>
        <v>9</v>
      </c>
      <c r="N192" s="145">
        <f t="shared" si="198"/>
        <v>32.099999999999994</v>
      </c>
      <c r="O192" s="145">
        <f t="shared" si="199"/>
        <v>87.85126685371115</v>
      </c>
      <c r="P192" s="145">
        <f t="shared" si="200"/>
        <v>0</v>
      </c>
      <c r="Q192" s="145">
        <f t="shared" si="201"/>
        <v>48.8415950854995</v>
      </c>
      <c r="R192" s="147">
        <f t="shared" si="202"/>
        <v>168.79286193921064</v>
      </c>
      <c r="S192" s="147"/>
      <c r="T192" s="128">
        <f t="shared" si="203"/>
        <v>0</v>
      </c>
      <c r="U192" s="128">
        <f t="shared" si="204"/>
        <v>0</v>
      </c>
      <c r="V192" s="150">
        <f t="shared" si="205"/>
        <v>0.13964575694747478</v>
      </c>
      <c r="W192" s="150">
        <f t="shared" si="206"/>
        <v>2.538037415770515</v>
      </c>
      <c r="X192" s="150">
        <f t="shared" si="166"/>
        <v>2.6776831727179897</v>
      </c>
    </row>
    <row r="193" spans="1:24" ht="12.75">
      <c r="A193" s="141">
        <v>176</v>
      </c>
      <c r="B193" s="142">
        <v>12</v>
      </c>
      <c r="C193" s="143">
        <v>323.4</v>
      </c>
      <c r="D193" s="143">
        <v>12.701</v>
      </c>
      <c r="E193" s="144" t="s">
        <v>82</v>
      </c>
      <c r="F193" s="144">
        <f t="shared" si="165"/>
        <v>97.31892453463944</v>
      </c>
      <c r="G193" s="145">
        <f t="shared" si="1"/>
        <v>3</v>
      </c>
      <c r="H193" s="145">
        <f t="shared" si="167"/>
        <v>2</v>
      </c>
      <c r="I193" s="145">
        <f t="shared" si="194"/>
        <v>2</v>
      </c>
      <c r="J193" s="146">
        <f t="shared" si="195"/>
        <v>8.211166098362856</v>
      </c>
      <c r="K193" s="147"/>
      <c r="L193" s="145">
        <f t="shared" si="196"/>
        <v>0</v>
      </c>
      <c r="M193" s="145">
        <f t="shared" si="197"/>
        <v>9</v>
      </c>
      <c r="N193" s="145">
        <f t="shared" si="198"/>
        <v>32.103</v>
      </c>
      <c r="O193" s="145">
        <f t="shared" si="199"/>
        <v>87.86768841858093</v>
      </c>
      <c r="P193" s="145">
        <f t="shared" si="200"/>
        <v>0</v>
      </c>
      <c r="Q193" s="145">
        <f t="shared" si="201"/>
        <v>48.844664393451424</v>
      </c>
      <c r="R193" s="147">
        <f t="shared" si="202"/>
        <v>168.81535281203236</v>
      </c>
      <c r="S193" s="147"/>
      <c r="T193" s="128">
        <f t="shared" si="203"/>
        <v>0</v>
      </c>
      <c r="U193" s="128">
        <f t="shared" si="204"/>
        <v>0</v>
      </c>
      <c r="V193" s="150">
        <f t="shared" si="205"/>
        <v>0.13964483214113743</v>
      </c>
      <c r="W193" s="150">
        <f t="shared" si="206"/>
        <v>2.538371594471849</v>
      </c>
      <c r="X193" s="150">
        <f t="shared" si="166"/>
        <v>2.6780164266129862</v>
      </c>
    </row>
    <row r="194" spans="1:24" ht="12.75">
      <c r="A194" s="141">
        <v>177</v>
      </c>
      <c r="B194" s="142">
        <v>12</v>
      </c>
      <c r="C194" s="143">
        <v>323.4</v>
      </c>
      <c r="D194" s="143">
        <v>14.27</v>
      </c>
      <c r="E194" s="144" t="s">
        <v>94</v>
      </c>
      <c r="F194" s="144">
        <f t="shared" si="165"/>
        <v>108.7889177749434</v>
      </c>
      <c r="G194" s="145">
        <f t="shared" si="1"/>
        <v>3</v>
      </c>
      <c r="H194" s="145">
        <f t="shared" si="167"/>
        <v>2</v>
      </c>
      <c r="I194" s="145">
        <f t="shared" si="194"/>
        <v>2</v>
      </c>
      <c r="J194" s="146">
        <f t="shared" si="195"/>
        <v>9.415102142501844</v>
      </c>
      <c r="K194" s="147"/>
      <c r="L194" s="145">
        <f t="shared" si="196"/>
        <v>0</v>
      </c>
      <c r="M194" s="145">
        <f t="shared" si="197"/>
        <v>9</v>
      </c>
      <c r="N194" s="145">
        <f t="shared" si="198"/>
        <v>36.81</v>
      </c>
      <c r="O194" s="145">
        <f t="shared" si="199"/>
        <v>115.52330328849763</v>
      </c>
      <c r="P194" s="145">
        <f t="shared" si="200"/>
        <v>0</v>
      </c>
      <c r="Q194" s="145">
        <f t="shared" si="201"/>
        <v>53.66040857000738</v>
      </c>
      <c r="R194" s="147">
        <f t="shared" si="202"/>
        <v>205.993711858505</v>
      </c>
      <c r="S194" s="147"/>
      <c r="T194" s="128">
        <f t="shared" si="203"/>
        <v>0</v>
      </c>
      <c r="U194" s="128">
        <f t="shared" si="204"/>
        <v>0</v>
      </c>
      <c r="V194" s="150">
        <f t="shared" si="205"/>
        <v>0.13819381099775602</v>
      </c>
      <c r="W194" s="150">
        <f t="shared" si="206"/>
        <v>3.089735350634983</v>
      </c>
      <c r="X194" s="150">
        <f t="shared" si="166"/>
        <v>3.227929161632739</v>
      </c>
    </row>
    <row r="195" spans="1:24" ht="12.75">
      <c r="A195" s="141">
        <v>178</v>
      </c>
      <c r="B195" s="142">
        <v>12</v>
      </c>
      <c r="C195" s="143">
        <v>323.4</v>
      </c>
      <c r="D195" s="143">
        <v>17.47</v>
      </c>
      <c r="E195" s="144" t="s">
        <v>89</v>
      </c>
      <c r="F195" s="144">
        <f t="shared" si="165"/>
        <v>131.80579383819486</v>
      </c>
      <c r="G195" s="145">
        <f t="shared" si="1"/>
        <v>3</v>
      </c>
      <c r="H195" s="145">
        <f t="shared" si="167"/>
        <v>2</v>
      </c>
      <c r="I195" s="145">
        <f t="shared" si="194"/>
        <v>2</v>
      </c>
      <c r="J195" s="146">
        <f t="shared" si="195"/>
        <v>11.870548504034517</v>
      </c>
      <c r="K195" s="147"/>
      <c r="L195" s="145">
        <f t="shared" si="196"/>
        <v>0</v>
      </c>
      <c r="M195" s="145">
        <f t="shared" si="197"/>
        <v>9</v>
      </c>
      <c r="N195" s="145">
        <f t="shared" si="198"/>
        <v>46.41</v>
      </c>
      <c r="O195" s="145">
        <f t="shared" si="199"/>
        <v>183.63738535741396</v>
      </c>
      <c r="P195" s="145">
        <f t="shared" si="200"/>
        <v>0</v>
      </c>
      <c r="Q195" s="145">
        <f t="shared" si="201"/>
        <v>63.48219401613807</v>
      </c>
      <c r="R195" s="147">
        <f t="shared" si="202"/>
        <v>293.529579373552</v>
      </c>
      <c r="S195" s="147"/>
      <c r="T195" s="128">
        <f t="shared" si="203"/>
        <v>0</v>
      </c>
      <c r="U195" s="128">
        <f t="shared" si="204"/>
        <v>0</v>
      </c>
      <c r="V195" s="150">
        <f t="shared" si="205"/>
        <v>0.13523443071807445</v>
      </c>
      <c r="W195" s="150">
        <f t="shared" si="206"/>
        <v>4.380427505586553</v>
      </c>
      <c r="X195" s="150">
        <f t="shared" si="166"/>
        <v>4.515661936304627</v>
      </c>
    </row>
    <row r="196" spans="1:24" ht="12.75">
      <c r="A196" s="141">
        <v>179</v>
      </c>
      <c r="B196" s="142">
        <v>12</v>
      </c>
      <c r="C196" s="143">
        <v>323.4</v>
      </c>
      <c r="D196" s="143">
        <v>21.44</v>
      </c>
      <c r="E196" s="144" t="s">
        <v>95</v>
      </c>
      <c r="F196" s="144">
        <f t="shared" si="165"/>
        <v>159.6591185064737</v>
      </c>
      <c r="G196" s="145">
        <f t="shared" si="1"/>
        <v>3</v>
      </c>
      <c r="H196" s="145">
        <f t="shared" si="167"/>
        <v>2</v>
      </c>
      <c r="I196" s="145">
        <f t="shared" si="194"/>
        <v>3</v>
      </c>
      <c r="J196" s="146">
        <f t="shared" si="195"/>
        <v>13.044558795642326</v>
      </c>
      <c r="K196" s="147"/>
      <c r="L196" s="145">
        <f t="shared" si="196"/>
        <v>0.43023783292865475</v>
      </c>
      <c r="M196" s="145">
        <f t="shared" si="197"/>
        <v>9</v>
      </c>
      <c r="N196" s="145">
        <f t="shared" si="198"/>
        <v>58.32000000000001</v>
      </c>
      <c r="O196" s="145">
        <f t="shared" si="199"/>
        <v>221.75749952591954</v>
      </c>
      <c r="P196" s="145">
        <f t="shared" si="200"/>
        <v>64.70722723508051</v>
      </c>
      <c r="Q196" s="145">
        <f t="shared" si="201"/>
        <v>104.84877977142587</v>
      </c>
      <c r="R196" s="147">
        <f t="shared" si="202"/>
        <v>449.63350653242594</v>
      </c>
      <c r="S196" s="147"/>
      <c r="T196" s="128">
        <f t="shared" si="203"/>
        <v>0</v>
      </c>
      <c r="U196" s="128">
        <f t="shared" si="204"/>
        <v>0</v>
      </c>
      <c r="V196" s="150">
        <f t="shared" si="205"/>
        <v>0.1315629495585945</v>
      </c>
      <c r="W196" s="150">
        <f t="shared" si="206"/>
        <v>6.667683187894413</v>
      </c>
      <c r="X196" s="150">
        <f t="shared" si="166"/>
        <v>6.799246137453007</v>
      </c>
    </row>
    <row r="197" spans="1:24" ht="12.75">
      <c r="A197" s="141">
        <v>180</v>
      </c>
      <c r="B197" s="142">
        <v>12</v>
      </c>
      <c r="C197" s="143">
        <v>323.4</v>
      </c>
      <c r="D197" s="143">
        <v>25.4</v>
      </c>
      <c r="E197" s="144" t="s">
        <v>91</v>
      </c>
      <c r="F197" s="144">
        <f t="shared" si="165"/>
        <v>186.6678434413821</v>
      </c>
      <c r="G197" s="145">
        <f>IF($D$6=1,2,3)</f>
        <v>3</v>
      </c>
      <c r="H197" s="145">
        <f t="shared" si="167"/>
        <v>2</v>
      </c>
      <c r="I197" s="145">
        <f t="shared" si="194"/>
        <v>3</v>
      </c>
      <c r="J197" s="146">
        <f t="shared" si="195"/>
        <v>13.044558795642326</v>
      </c>
      <c r="K197" s="147"/>
      <c r="L197" s="145">
        <f t="shared" si="196"/>
        <v>1.1284926765341756</v>
      </c>
      <c r="M197" s="145">
        <f t="shared" si="197"/>
        <v>9</v>
      </c>
      <c r="N197" s="145">
        <f t="shared" si="198"/>
        <v>70.19999999999999</v>
      </c>
      <c r="O197" s="145">
        <f t="shared" si="199"/>
        <v>221.75749952591954</v>
      </c>
      <c r="P197" s="145">
        <f t="shared" si="200"/>
        <v>174.19270571404044</v>
      </c>
      <c r="Q197" s="145">
        <f t="shared" si="201"/>
        <v>109.03830883305902</v>
      </c>
      <c r="R197" s="147">
        <f t="shared" si="202"/>
        <v>575.188514073019</v>
      </c>
      <c r="S197" s="147"/>
      <c r="T197" s="128">
        <f t="shared" si="203"/>
        <v>0</v>
      </c>
      <c r="U197" s="128">
        <f t="shared" si="204"/>
        <v>0</v>
      </c>
      <c r="V197" s="150">
        <f t="shared" si="205"/>
        <v>0.12790071646248852</v>
      </c>
      <c r="W197" s="150">
        <f t="shared" si="206"/>
        <v>8.475545196034252</v>
      </c>
      <c r="X197" s="150">
        <f t="shared" si="166"/>
        <v>8.60344591249674</v>
      </c>
    </row>
    <row r="198" spans="1:24" ht="12.75">
      <c r="A198" s="141">
        <v>181</v>
      </c>
      <c r="B198" s="142">
        <v>12</v>
      </c>
      <c r="C198" s="143">
        <v>323.4</v>
      </c>
      <c r="D198" s="143">
        <v>25.4</v>
      </c>
      <c r="E198" s="144" t="s">
        <v>83</v>
      </c>
      <c r="F198" s="144">
        <f t="shared" si="165"/>
        <v>186.6678434413821</v>
      </c>
      <c r="G198" s="145">
        <f>IF($D$6=1,2,3)</f>
        <v>3</v>
      </c>
      <c r="H198" s="145">
        <f t="shared" si="167"/>
        <v>2</v>
      </c>
      <c r="I198" s="145">
        <f t="shared" si="194"/>
        <v>3</v>
      </c>
      <c r="J198" s="146">
        <f t="shared" si="195"/>
        <v>13.044558795642326</v>
      </c>
      <c r="K198" s="147"/>
      <c r="L198" s="145">
        <f t="shared" si="196"/>
        <v>1.1284926765341756</v>
      </c>
      <c r="M198" s="145">
        <f t="shared" si="197"/>
        <v>9</v>
      </c>
      <c r="N198" s="145">
        <f t="shared" si="198"/>
        <v>70.19999999999999</v>
      </c>
      <c r="O198" s="145">
        <f t="shared" si="199"/>
        <v>221.75749952591954</v>
      </c>
      <c r="P198" s="145">
        <f t="shared" si="200"/>
        <v>174.19270571404044</v>
      </c>
      <c r="Q198" s="145">
        <f t="shared" si="201"/>
        <v>109.03830883305902</v>
      </c>
      <c r="R198" s="147">
        <f t="shared" si="202"/>
        <v>575.188514073019</v>
      </c>
      <c r="S198" s="147"/>
      <c r="T198" s="128">
        <f t="shared" si="203"/>
        <v>0</v>
      </c>
      <c r="U198" s="128">
        <f t="shared" si="204"/>
        <v>0</v>
      </c>
      <c r="V198" s="150">
        <f t="shared" si="205"/>
        <v>0.12790071646248852</v>
      </c>
      <c r="W198" s="150">
        <f t="shared" si="206"/>
        <v>8.475545196034252</v>
      </c>
      <c r="X198" s="150">
        <f t="shared" si="166"/>
        <v>8.60344591249674</v>
      </c>
    </row>
    <row r="199" spans="1:24" ht="12.75">
      <c r="A199" s="141">
        <v>182</v>
      </c>
      <c r="B199" s="142">
        <v>12</v>
      </c>
      <c r="C199" s="143">
        <v>323.4</v>
      </c>
      <c r="D199" s="143">
        <v>28.58</v>
      </c>
      <c r="E199" s="144" t="s">
        <v>96</v>
      </c>
      <c r="F199" s="144">
        <f t="shared" si="165"/>
        <v>207.7967236676051</v>
      </c>
      <c r="G199" s="145">
        <f>IF($D$6=1,2,3)</f>
        <v>3</v>
      </c>
      <c r="H199" s="145">
        <f t="shared" si="167"/>
        <v>2</v>
      </c>
      <c r="I199" s="145">
        <f t="shared" si="194"/>
        <v>3</v>
      </c>
      <c r="J199" s="146">
        <f t="shared" si="195"/>
        <v>13.044558795642326</v>
      </c>
      <c r="K199" s="147"/>
      <c r="L199" s="145">
        <f t="shared" si="196"/>
        <v>1.689212475187094</v>
      </c>
      <c r="M199" s="145">
        <f t="shared" si="197"/>
        <v>9</v>
      </c>
      <c r="N199" s="145">
        <f t="shared" si="198"/>
        <v>79.74</v>
      </c>
      <c r="O199" s="145">
        <f t="shared" si="199"/>
        <v>221.75749952591954</v>
      </c>
      <c r="P199" s="145">
        <f t="shared" si="200"/>
        <v>266.1164020367993</v>
      </c>
      <c r="Q199" s="145">
        <f t="shared" si="201"/>
        <v>112.40262762497653</v>
      </c>
      <c r="R199" s="147">
        <f t="shared" si="202"/>
        <v>680.0165291876954</v>
      </c>
      <c r="S199" s="147"/>
      <c r="T199" s="128">
        <f t="shared" si="203"/>
        <v>0</v>
      </c>
      <c r="U199" s="128">
        <f t="shared" si="204"/>
        <v>0</v>
      </c>
      <c r="V199" s="150">
        <f t="shared" si="205"/>
        <v>0.12495983230955494</v>
      </c>
      <c r="W199" s="150">
        <f t="shared" si="206"/>
        <v>9.968933757746667</v>
      </c>
      <c r="X199" s="150">
        <f t="shared" si="166"/>
        <v>10.093893590056222</v>
      </c>
    </row>
    <row r="200" spans="1:24" ht="12.75">
      <c r="A200" s="141">
        <v>183</v>
      </c>
      <c r="B200" s="142">
        <v>12</v>
      </c>
      <c r="C200" s="143">
        <v>323.4</v>
      </c>
      <c r="D200" s="143">
        <v>33.34</v>
      </c>
      <c r="E200" s="144" t="s">
        <v>90</v>
      </c>
      <c r="F200" s="144">
        <f t="shared" si="165"/>
        <v>238.4915343036737</v>
      </c>
      <c r="G200" s="145">
        <f>IF($D$6=1,2,3)</f>
        <v>3</v>
      </c>
      <c r="H200" s="145">
        <f t="shared" si="167"/>
        <v>2</v>
      </c>
      <c r="I200" s="145">
        <f t="shared" si="194"/>
        <v>3</v>
      </c>
      <c r="J200" s="146">
        <f t="shared" si="195"/>
        <v>13.044558795642326</v>
      </c>
      <c r="K200" s="147"/>
      <c r="L200" s="145">
        <f t="shared" si="196"/>
        <v>2.5285289033593883</v>
      </c>
      <c r="M200" s="145">
        <f t="shared" si="197"/>
        <v>9</v>
      </c>
      <c r="N200" s="145">
        <f t="shared" si="198"/>
        <v>94.02000000000001</v>
      </c>
      <c r="O200" s="145">
        <f t="shared" si="199"/>
        <v>221.75749952591954</v>
      </c>
      <c r="P200" s="145">
        <f t="shared" si="200"/>
        <v>410.37705073319563</v>
      </c>
      <c r="Q200" s="145">
        <f t="shared" si="201"/>
        <v>117.43852619401028</v>
      </c>
      <c r="R200" s="147">
        <f t="shared" si="202"/>
        <v>843.5930764531255</v>
      </c>
      <c r="S200" s="147"/>
      <c r="T200" s="128">
        <f t="shared" si="203"/>
        <v>0</v>
      </c>
      <c r="U200" s="128">
        <f t="shared" si="204"/>
        <v>0</v>
      </c>
      <c r="V200" s="150">
        <f t="shared" si="205"/>
        <v>0.12055775414352858</v>
      </c>
      <c r="W200" s="150">
        <f t="shared" si="206"/>
        <v>12.271720271285021</v>
      </c>
      <c r="X200" s="150">
        <f t="shared" si="166"/>
        <v>12.39227802542855</v>
      </c>
    </row>
    <row r="201" spans="1:24" ht="12.75">
      <c r="A201" s="141">
        <v>184</v>
      </c>
      <c r="B201" s="142"/>
      <c r="C201" s="143"/>
      <c r="D201" s="143"/>
      <c r="E201" s="144"/>
      <c r="F201" s="144">
        <f t="shared" si="165"/>
        <v>0</v>
      </c>
      <c r="G201" s="145"/>
      <c r="H201" s="145">
        <f t="shared" si="167"/>
        <v>0</v>
      </c>
      <c r="I201" s="145"/>
      <c r="J201" s="146"/>
      <c r="K201" s="147"/>
      <c r="L201" s="145"/>
      <c r="M201" s="145"/>
      <c r="N201" s="145"/>
      <c r="O201" s="145"/>
      <c r="P201" s="145"/>
      <c r="Q201" s="145"/>
      <c r="R201" s="147"/>
      <c r="S201" s="147"/>
      <c r="T201" s="128"/>
      <c r="U201" s="128"/>
      <c r="V201" s="150"/>
      <c r="W201" s="150"/>
      <c r="X201" s="150">
        <f t="shared" si="166"/>
        <v>0</v>
      </c>
    </row>
    <row r="202" spans="1:24" ht="12.75">
      <c r="A202" s="141">
        <v>185</v>
      </c>
      <c r="B202" s="142">
        <v>14</v>
      </c>
      <c r="C202" s="143">
        <f aca="true" t="shared" si="207" ref="C202:C316">25.4*B202</f>
        <v>355.59999999999997</v>
      </c>
      <c r="D202" s="143">
        <v>3.96</v>
      </c>
      <c r="E202" s="144" t="s">
        <v>81</v>
      </c>
      <c r="F202" s="144">
        <f t="shared" si="165"/>
        <v>34.341003891058676</v>
      </c>
      <c r="G202" s="145">
        <f t="shared" si="1"/>
        <v>3</v>
      </c>
      <c r="H202" s="145">
        <f t="shared" si="167"/>
        <v>2</v>
      </c>
      <c r="I202" s="145">
        <f>IF(D202&lt;=19,2,3)</f>
        <v>2</v>
      </c>
      <c r="J202" s="146">
        <f>IF(D202&lt;=19,(D202-H202)*TAN($C$8*PI()/180),(19-H202)*TAN($C$8*PI()/180))</f>
        <v>1.5039608964387623</v>
      </c>
      <c r="K202" s="147"/>
      <c r="L202" s="145">
        <f>IF(D202&lt;=19,0,(D202-19)*TAN($C$10*PI()/180))</f>
        <v>0</v>
      </c>
      <c r="M202" s="145">
        <f>+G202*(H202*1.5)</f>
        <v>9</v>
      </c>
      <c r="N202" s="145">
        <f>+G202*(D202-H202)</f>
        <v>5.88</v>
      </c>
      <c r="O202" s="145">
        <f>IF(D202&lt;=19,(D202-H202)*J202,(19-H202)*J202)</f>
        <v>2.947763357019974</v>
      </c>
      <c r="P202" s="145">
        <f>IF(D202&lt;=19,0,(J202*(D202-19)*2)+((L202)*(D202-19)))</f>
        <v>0</v>
      </c>
      <c r="Q202" s="145">
        <f>+(5+G202+(2*(J202+L202)))*I202</f>
        <v>22.01584358575505</v>
      </c>
      <c r="R202" s="147">
        <f>SUM(N202:Q202)</f>
        <v>30.843606942775025</v>
      </c>
      <c r="S202" s="147"/>
      <c r="T202" s="128">
        <f>IF(D$6=1,(PI()*(C202-(2*D202)+(2*H202))*M202*0.1*0.01*7.85*0.001/(T$16*T$17)),0)</f>
        <v>0</v>
      </c>
      <c r="U202" s="128">
        <f>IF(D$6=1,(PI()*(C202-(0.5*D202))*(R202)*0.1*0.01*7.85*0.001/(U$16*U$17)),0)</f>
        <v>0</v>
      </c>
      <c r="V202" s="150">
        <f>IF(D$6=1,0,(PI()*(C202-(2*D202)+(2*H202))*M202*0.1*0.01*7.85*0.001/(V$16*V$17)))</f>
        <v>0.1626179463685031</v>
      </c>
      <c r="W202" s="150">
        <f>IF(D$6=1,0,(PI()*(C202-(0.5*D202))*(R202)*0.1*0.01*7.85*0.001/(W$16*W$17)))</f>
        <v>0.517271041221054</v>
      </c>
      <c r="X202" s="150">
        <f t="shared" si="166"/>
        <v>0.6798889875895572</v>
      </c>
    </row>
    <row r="203" spans="1:24" ht="12.75">
      <c r="A203" s="141">
        <v>186</v>
      </c>
      <c r="B203" s="142">
        <v>14</v>
      </c>
      <c r="C203" s="143">
        <f t="shared" si="207"/>
        <v>355.59999999999997</v>
      </c>
      <c r="D203" s="143">
        <v>4.78</v>
      </c>
      <c r="E203" s="144" t="s">
        <v>84</v>
      </c>
      <c r="F203" s="144">
        <f t="shared" si="165"/>
        <v>41.35535662376276</v>
      </c>
      <c r="G203" s="145">
        <f aca="true" t="shared" si="208" ref="G203:G215">IF($D$6=1,2,3)</f>
        <v>3</v>
      </c>
      <c r="H203" s="145">
        <f t="shared" si="167"/>
        <v>2</v>
      </c>
      <c r="I203" s="145">
        <f aca="true" t="shared" si="209" ref="I203:I215">IF(D203&lt;=19,2,3)</f>
        <v>2</v>
      </c>
      <c r="J203" s="146">
        <f aca="true" t="shared" si="210" ref="J203:J215">IF(D203&lt;=19,(D203-H203)*TAN($C$8*PI()/180),(19-H203)*TAN($C$8*PI()/180))</f>
        <v>2.13316902658151</v>
      </c>
      <c r="K203" s="147"/>
      <c r="L203" s="145">
        <f aca="true" t="shared" si="211" ref="L203:L215">IF(D203&lt;=19,0,(D203-19)*TAN($C$10*PI()/180))</f>
        <v>0</v>
      </c>
      <c r="M203" s="145">
        <f aca="true" t="shared" si="212" ref="M203:M215">+G203*(H203*1.5)</f>
        <v>9</v>
      </c>
      <c r="N203" s="145">
        <f aca="true" t="shared" si="213" ref="N203:N215">+G203*(D203-H203)</f>
        <v>8.34</v>
      </c>
      <c r="O203" s="145">
        <f aca="true" t="shared" si="214" ref="O203:O215">IF(D203&lt;=19,(D203-H203)*J203,(19-H203)*J203)</f>
        <v>5.930209893896598</v>
      </c>
      <c r="P203" s="145">
        <f aca="true" t="shared" si="215" ref="P203:P215">IF(D203&lt;=19,0,(J203*(D203-19)*2)+((L203)*(D203-19)))</f>
        <v>0</v>
      </c>
      <c r="Q203" s="145">
        <f aca="true" t="shared" si="216" ref="Q203:Q215">+(5+G203+(2*(J203+L203)))*I203</f>
        <v>24.53267610632604</v>
      </c>
      <c r="R203" s="147">
        <f aca="true" t="shared" si="217" ref="R203:R215">SUM(N203:Q203)</f>
        <v>38.80288600022264</v>
      </c>
      <c r="S203" s="147"/>
      <c r="T203" s="128">
        <f aca="true" t="shared" si="218" ref="T203:T215">IF(D$6=1,(PI()*(C203-(2*D203)+(2*H203))*M203*0.1*0.01*7.85*0.001/(T$16*T$17)),0)</f>
        <v>0</v>
      </c>
      <c r="U203" s="128">
        <f aca="true" t="shared" si="219" ref="U203:U215">IF(D$6=1,(PI()*(C203-(0.5*D203))*(R203)*0.1*0.01*7.85*0.001/(U$16*U$17)),0)</f>
        <v>0</v>
      </c>
      <c r="V203" s="150">
        <f aca="true" t="shared" si="220" ref="V203:V215">IF(D$6=1,0,(PI()*(C203-(2*D203)+(2*H203))*M203*0.1*0.01*7.85*0.001/(V$16*V$17)))</f>
        <v>0.1618596051718347</v>
      </c>
      <c r="W203" s="150">
        <f aca="true" t="shared" si="221" ref="W203:W215">IF(D$6=1,0,(PI()*(C203-(0.5*D203))*(R203)*0.1*0.01*7.85*0.001/(W$16*W$17)))</f>
        <v>0.6499997721038366</v>
      </c>
      <c r="X203" s="150">
        <f t="shared" si="166"/>
        <v>0.8118593772756714</v>
      </c>
    </row>
    <row r="204" spans="1:24" ht="12.75">
      <c r="A204" s="141">
        <v>187</v>
      </c>
      <c r="B204" s="142">
        <v>14</v>
      </c>
      <c r="C204" s="143">
        <f t="shared" si="207"/>
        <v>355.59999999999997</v>
      </c>
      <c r="D204" s="143">
        <v>6.35</v>
      </c>
      <c r="E204" s="144" t="s">
        <v>97</v>
      </c>
      <c r="F204" s="144">
        <f t="shared" si="165"/>
        <v>54.69273852508615</v>
      </c>
      <c r="G204" s="145">
        <f t="shared" si="208"/>
        <v>3</v>
      </c>
      <c r="H204" s="145">
        <f t="shared" si="167"/>
        <v>2</v>
      </c>
      <c r="I204" s="145">
        <f t="shared" si="209"/>
        <v>2</v>
      </c>
      <c r="J204" s="146">
        <f t="shared" si="210"/>
        <v>3.337872397708477</v>
      </c>
      <c r="K204" s="147"/>
      <c r="L204" s="145">
        <f t="shared" si="211"/>
        <v>0</v>
      </c>
      <c r="M204" s="145">
        <f t="shared" si="212"/>
        <v>9</v>
      </c>
      <c r="N204" s="145">
        <f t="shared" si="213"/>
        <v>13.049999999999999</v>
      </c>
      <c r="O204" s="145">
        <f t="shared" si="214"/>
        <v>14.519744930031875</v>
      </c>
      <c r="P204" s="145">
        <f t="shared" si="215"/>
        <v>0</v>
      </c>
      <c r="Q204" s="145">
        <f t="shared" si="216"/>
        <v>29.351489590833907</v>
      </c>
      <c r="R204" s="147">
        <f t="shared" si="217"/>
        <v>56.92123452086578</v>
      </c>
      <c r="S204" s="147"/>
      <c r="T204" s="128">
        <f t="shared" si="218"/>
        <v>0</v>
      </c>
      <c r="U204" s="128">
        <f t="shared" si="219"/>
        <v>0</v>
      </c>
      <c r="V204" s="150">
        <f t="shared" si="220"/>
        <v>0.16040765922211592</v>
      </c>
      <c r="W204" s="150">
        <f t="shared" si="221"/>
        <v>0.9513869824773002</v>
      </c>
      <c r="X204" s="150">
        <f t="shared" si="166"/>
        <v>1.1117946416994162</v>
      </c>
    </row>
    <row r="205" spans="1:24" ht="12.75">
      <c r="A205" s="141">
        <v>188</v>
      </c>
      <c r="B205" s="142">
        <v>14</v>
      </c>
      <c r="C205" s="143">
        <f t="shared" si="207"/>
        <v>355.59999999999997</v>
      </c>
      <c r="D205" s="143">
        <v>7.92</v>
      </c>
      <c r="E205" s="144" t="s">
        <v>92</v>
      </c>
      <c r="F205" s="144">
        <f t="shared" si="165"/>
        <v>67.90854415221976</v>
      </c>
      <c r="G205" s="145">
        <f t="shared" si="208"/>
        <v>3</v>
      </c>
      <c r="H205" s="145">
        <f t="shared" si="167"/>
        <v>2</v>
      </c>
      <c r="I205" s="145">
        <f t="shared" si="209"/>
        <v>2</v>
      </c>
      <c r="J205" s="146">
        <f t="shared" si="210"/>
        <v>4.542575768835445</v>
      </c>
      <c r="K205" s="147"/>
      <c r="L205" s="145">
        <f t="shared" si="211"/>
        <v>0</v>
      </c>
      <c r="M205" s="145">
        <f t="shared" si="212"/>
        <v>9</v>
      </c>
      <c r="N205" s="145">
        <f t="shared" si="213"/>
        <v>17.759999999999998</v>
      </c>
      <c r="O205" s="145">
        <f t="shared" si="214"/>
        <v>26.892048551505837</v>
      </c>
      <c r="P205" s="145">
        <f t="shared" si="215"/>
        <v>0</v>
      </c>
      <c r="Q205" s="145">
        <f t="shared" si="216"/>
        <v>34.17030307534178</v>
      </c>
      <c r="R205" s="147">
        <f t="shared" si="217"/>
        <v>78.82235162684762</v>
      </c>
      <c r="S205" s="147"/>
      <c r="T205" s="128">
        <f t="shared" si="218"/>
        <v>0</v>
      </c>
      <c r="U205" s="128">
        <f t="shared" si="219"/>
        <v>0</v>
      </c>
      <c r="V205" s="150">
        <f t="shared" si="220"/>
        <v>0.15895571327239716</v>
      </c>
      <c r="W205" s="150">
        <f t="shared" si="221"/>
        <v>1.3145098503884856</v>
      </c>
      <c r="X205" s="150">
        <f t="shared" si="166"/>
        <v>1.4734655636608827</v>
      </c>
    </row>
    <row r="206" spans="1:24" ht="12.75">
      <c r="A206" s="141">
        <v>189</v>
      </c>
      <c r="B206" s="142">
        <v>14</v>
      </c>
      <c r="C206" s="143">
        <f t="shared" si="207"/>
        <v>355.59999999999997</v>
      </c>
      <c r="D206" s="143">
        <v>9.52</v>
      </c>
      <c r="E206" s="144" t="s">
        <v>93</v>
      </c>
      <c r="F206" s="144">
        <f t="shared" si="165"/>
        <v>81.25179795724807</v>
      </c>
      <c r="G206" s="145">
        <f t="shared" si="208"/>
        <v>3</v>
      </c>
      <c r="H206" s="145">
        <f t="shared" si="167"/>
        <v>2</v>
      </c>
      <c r="I206" s="145">
        <f t="shared" si="209"/>
        <v>2</v>
      </c>
      <c r="J206" s="146">
        <f t="shared" si="210"/>
        <v>5.770298949601782</v>
      </c>
      <c r="K206" s="147"/>
      <c r="L206" s="145">
        <f t="shared" si="211"/>
        <v>0</v>
      </c>
      <c r="M206" s="145">
        <f t="shared" si="212"/>
        <v>9</v>
      </c>
      <c r="N206" s="145">
        <f t="shared" si="213"/>
        <v>22.56</v>
      </c>
      <c r="O206" s="145">
        <f t="shared" si="214"/>
        <v>43.39264810100539</v>
      </c>
      <c r="P206" s="145">
        <f t="shared" si="215"/>
        <v>0</v>
      </c>
      <c r="Q206" s="145">
        <f t="shared" si="216"/>
        <v>39.08119579840712</v>
      </c>
      <c r="R206" s="147">
        <f t="shared" si="217"/>
        <v>105.03384389941252</v>
      </c>
      <c r="S206" s="147"/>
      <c r="T206" s="128">
        <f t="shared" si="218"/>
        <v>0</v>
      </c>
      <c r="U206" s="128">
        <f t="shared" si="219"/>
        <v>0</v>
      </c>
      <c r="V206" s="150">
        <f t="shared" si="220"/>
        <v>0.1574760231325563</v>
      </c>
      <c r="W206" s="150">
        <f t="shared" si="221"/>
        <v>1.747650347592914</v>
      </c>
      <c r="X206" s="150">
        <f t="shared" si="166"/>
        <v>1.9051263707254702</v>
      </c>
    </row>
    <row r="207" spans="1:24" ht="12.75">
      <c r="A207" s="141">
        <v>190</v>
      </c>
      <c r="B207" s="142">
        <v>14</v>
      </c>
      <c r="C207" s="143">
        <f t="shared" si="207"/>
        <v>355.59999999999997</v>
      </c>
      <c r="D207" s="143">
        <v>9.52</v>
      </c>
      <c r="E207" s="144" t="s">
        <v>86</v>
      </c>
      <c r="F207" s="144">
        <f t="shared" si="165"/>
        <v>81.25179795724807</v>
      </c>
      <c r="G207" s="145">
        <f t="shared" si="208"/>
        <v>3</v>
      </c>
      <c r="H207" s="145">
        <f aca="true" t="shared" si="222" ref="H207:H260">IF(D207&lt;2,D207,2)</f>
        <v>2</v>
      </c>
      <c r="I207" s="145">
        <f t="shared" si="209"/>
        <v>2</v>
      </c>
      <c r="J207" s="146">
        <f t="shared" si="210"/>
        <v>5.770298949601782</v>
      </c>
      <c r="K207" s="147"/>
      <c r="L207" s="145">
        <f t="shared" si="211"/>
        <v>0</v>
      </c>
      <c r="M207" s="145">
        <f t="shared" si="212"/>
        <v>9</v>
      </c>
      <c r="N207" s="145">
        <f t="shared" si="213"/>
        <v>22.56</v>
      </c>
      <c r="O207" s="145">
        <f t="shared" si="214"/>
        <v>43.39264810100539</v>
      </c>
      <c r="P207" s="145">
        <f t="shared" si="215"/>
        <v>0</v>
      </c>
      <c r="Q207" s="145">
        <f t="shared" si="216"/>
        <v>39.08119579840712</v>
      </c>
      <c r="R207" s="147">
        <f t="shared" si="217"/>
        <v>105.03384389941252</v>
      </c>
      <c r="S207" s="147"/>
      <c r="T207" s="128">
        <f t="shared" si="218"/>
        <v>0</v>
      </c>
      <c r="U207" s="128">
        <f t="shared" si="219"/>
        <v>0</v>
      </c>
      <c r="V207" s="150">
        <f t="shared" si="220"/>
        <v>0.1574760231325563</v>
      </c>
      <c r="W207" s="150">
        <f t="shared" si="221"/>
        <v>1.747650347592914</v>
      </c>
      <c r="X207" s="150">
        <f t="shared" si="166"/>
        <v>1.9051263707254702</v>
      </c>
    </row>
    <row r="208" spans="1:24" ht="12.75">
      <c r="A208" s="141">
        <v>191</v>
      </c>
      <c r="B208" s="142">
        <v>14</v>
      </c>
      <c r="C208" s="143">
        <f t="shared" si="207"/>
        <v>355.59999999999997</v>
      </c>
      <c r="D208" s="143">
        <v>11.13</v>
      </c>
      <c r="E208" s="144" t="s">
        <v>87</v>
      </c>
      <c r="F208" s="144">
        <f t="shared" si="165"/>
        <v>94.55099398836266</v>
      </c>
      <c r="G208" s="145">
        <f t="shared" si="208"/>
        <v>3</v>
      </c>
      <c r="H208" s="145">
        <f t="shared" si="222"/>
        <v>2</v>
      </c>
      <c r="I208" s="145">
        <f t="shared" si="209"/>
        <v>2</v>
      </c>
      <c r="J208" s="146">
        <f t="shared" si="210"/>
        <v>7.005695400247909</v>
      </c>
      <c r="K208" s="147"/>
      <c r="L208" s="145">
        <f t="shared" si="211"/>
        <v>0</v>
      </c>
      <c r="M208" s="145">
        <f t="shared" si="212"/>
        <v>9</v>
      </c>
      <c r="N208" s="145">
        <f t="shared" si="213"/>
        <v>27.39</v>
      </c>
      <c r="O208" s="145">
        <f t="shared" si="214"/>
        <v>63.96199900426341</v>
      </c>
      <c r="P208" s="145">
        <f t="shared" si="215"/>
        <v>0</v>
      </c>
      <c r="Q208" s="145">
        <f t="shared" si="216"/>
        <v>44.022781600991635</v>
      </c>
      <c r="R208" s="147">
        <f t="shared" si="217"/>
        <v>135.37478060525504</v>
      </c>
      <c r="S208" s="147"/>
      <c r="T208" s="128">
        <f t="shared" si="218"/>
        <v>0</v>
      </c>
      <c r="U208" s="128">
        <f t="shared" si="219"/>
        <v>0</v>
      </c>
      <c r="V208" s="150">
        <f t="shared" si="220"/>
        <v>0.15598708492934155</v>
      </c>
      <c r="W208" s="150">
        <f t="shared" si="221"/>
        <v>2.2473226205490002</v>
      </c>
      <c r="X208" s="150">
        <f t="shared" si="166"/>
        <v>2.4033097054783417</v>
      </c>
    </row>
    <row r="209" spans="1:24" ht="12.75">
      <c r="A209" s="141">
        <v>192</v>
      </c>
      <c r="B209" s="142">
        <v>14</v>
      </c>
      <c r="C209" s="143">
        <f t="shared" si="207"/>
        <v>355.59999999999997</v>
      </c>
      <c r="D209" s="143">
        <v>12.701</v>
      </c>
      <c r="E209" s="144" t="s">
        <v>82</v>
      </c>
      <c r="F209" s="144">
        <f t="shared" si="165"/>
        <v>107.4047933981227</v>
      </c>
      <c r="G209" s="145">
        <f t="shared" si="208"/>
        <v>3</v>
      </c>
      <c r="H209" s="145">
        <f t="shared" si="222"/>
        <v>2</v>
      </c>
      <c r="I209" s="145">
        <f t="shared" si="209"/>
        <v>2</v>
      </c>
      <c r="J209" s="146">
        <f t="shared" si="210"/>
        <v>8.211166098362856</v>
      </c>
      <c r="K209" s="147"/>
      <c r="L209" s="145">
        <f t="shared" si="211"/>
        <v>0</v>
      </c>
      <c r="M209" s="145">
        <f t="shared" si="212"/>
        <v>9</v>
      </c>
      <c r="N209" s="145">
        <f t="shared" si="213"/>
        <v>32.103</v>
      </c>
      <c r="O209" s="145">
        <f t="shared" si="214"/>
        <v>87.86768841858093</v>
      </c>
      <c r="P209" s="145">
        <f t="shared" si="215"/>
        <v>0</v>
      </c>
      <c r="Q209" s="145">
        <f t="shared" si="216"/>
        <v>48.844664393451424</v>
      </c>
      <c r="R209" s="147">
        <f t="shared" si="217"/>
        <v>168.81535281203236</v>
      </c>
      <c r="S209" s="147"/>
      <c r="T209" s="128">
        <f t="shared" si="218"/>
        <v>0</v>
      </c>
      <c r="U209" s="128">
        <f t="shared" si="219"/>
        <v>0</v>
      </c>
      <c r="V209" s="150">
        <f t="shared" si="220"/>
        <v>0.1545342141732854</v>
      </c>
      <c r="W209" s="150">
        <f t="shared" si="221"/>
        <v>2.7961722386677668</v>
      </c>
      <c r="X209" s="150">
        <f t="shared" si="166"/>
        <v>2.950706452841052</v>
      </c>
    </row>
    <row r="210" spans="1:24" ht="12.75">
      <c r="A210" s="141">
        <v>193</v>
      </c>
      <c r="B210" s="142">
        <v>14</v>
      </c>
      <c r="C210" s="143">
        <f t="shared" si="207"/>
        <v>355.59999999999997</v>
      </c>
      <c r="D210" s="143">
        <v>15.09</v>
      </c>
      <c r="E210" s="144" t="s">
        <v>94</v>
      </c>
      <c r="F210" s="144">
        <f t="shared" si="165"/>
        <v>126.71809631357283</v>
      </c>
      <c r="G210" s="145">
        <f t="shared" si="208"/>
        <v>3</v>
      </c>
      <c r="H210" s="145">
        <f t="shared" si="222"/>
        <v>2</v>
      </c>
      <c r="I210" s="145">
        <f t="shared" si="209"/>
        <v>2</v>
      </c>
      <c r="J210" s="146">
        <f t="shared" si="210"/>
        <v>10.04431027264459</v>
      </c>
      <c r="K210" s="147"/>
      <c r="L210" s="145">
        <f t="shared" si="211"/>
        <v>0</v>
      </c>
      <c r="M210" s="145">
        <f t="shared" si="212"/>
        <v>9</v>
      </c>
      <c r="N210" s="145">
        <f t="shared" si="213"/>
        <v>39.269999999999996</v>
      </c>
      <c r="O210" s="145">
        <f t="shared" si="214"/>
        <v>131.4800214689177</v>
      </c>
      <c r="P210" s="145">
        <f t="shared" si="215"/>
        <v>0</v>
      </c>
      <c r="Q210" s="145">
        <f t="shared" si="216"/>
        <v>56.17724109057836</v>
      </c>
      <c r="R210" s="147">
        <f t="shared" si="217"/>
        <v>226.92726255949606</v>
      </c>
      <c r="S210" s="147"/>
      <c r="T210" s="128">
        <f t="shared" si="218"/>
        <v>0</v>
      </c>
      <c r="U210" s="128">
        <f t="shared" si="219"/>
        <v>0</v>
      </c>
      <c r="V210" s="150">
        <f t="shared" si="220"/>
        <v>0.15232485183323557</v>
      </c>
      <c r="W210" s="150">
        <f t="shared" si="221"/>
        <v>3.7458530593169646</v>
      </c>
      <c r="X210" s="150">
        <f t="shared" si="166"/>
        <v>3.8981779111502</v>
      </c>
    </row>
    <row r="211" spans="1:24" ht="12.75">
      <c r="A211" s="141">
        <v>194</v>
      </c>
      <c r="B211" s="142">
        <v>14</v>
      </c>
      <c r="C211" s="143">
        <f t="shared" si="207"/>
        <v>355.59999999999997</v>
      </c>
      <c r="D211" s="143">
        <v>19.05</v>
      </c>
      <c r="E211" s="144" t="s">
        <v>89</v>
      </c>
      <c r="F211" s="144">
        <f aca="true" t="shared" si="223" ref="F211:F274">+PI()*D211*(C211-D211)*0.00785</f>
        <v>158.11173500888543</v>
      </c>
      <c r="G211" s="145">
        <f t="shared" si="208"/>
        <v>3</v>
      </c>
      <c r="H211" s="145">
        <f t="shared" si="222"/>
        <v>2</v>
      </c>
      <c r="I211" s="145">
        <f t="shared" si="209"/>
        <v>3</v>
      </c>
      <c r="J211" s="146">
        <f t="shared" si="210"/>
        <v>13.044558795642326</v>
      </c>
      <c r="K211" s="147"/>
      <c r="L211" s="145">
        <f t="shared" si="211"/>
        <v>0.008816349035423374</v>
      </c>
      <c r="M211" s="145">
        <f t="shared" si="212"/>
        <v>9</v>
      </c>
      <c r="N211" s="145">
        <f t="shared" si="213"/>
        <v>51.150000000000006</v>
      </c>
      <c r="O211" s="145">
        <f t="shared" si="214"/>
        <v>221.75749952591954</v>
      </c>
      <c r="P211" s="145">
        <f t="shared" si="215"/>
        <v>1.3048966970160223</v>
      </c>
      <c r="Q211" s="145">
        <f t="shared" si="216"/>
        <v>102.32025086806651</v>
      </c>
      <c r="R211" s="147">
        <f t="shared" si="217"/>
        <v>376.5326470910021</v>
      </c>
      <c r="S211" s="147"/>
      <c r="T211" s="128">
        <f t="shared" si="218"/>
        <v>0</v>
      </c>
      <c r="U211" s="128">
        <f t="shared" si="219"/>
        <v>0</v>
      </c>
      <c r="V211" s="150">
        <f t="shared" si="220"/>
        <v>0.1486626187371296</v>
      </c>
      <c r="W211" s="150">
        <f t="shared" si="221"/>
        <v>6.180008193029658</v>
      </c>
      <c r="X211" s="150">
        <f aca="true" t="shared" si="224" ref="X211:X274">SUM(V211:W211)</f>
        <v>6.328670811766788</v>
      </c>
    </row>
    <row r="212" spans="1:24" ht="12.75">
      <c r="A212" s="141">
        <v>195</v>
      </c>
      <c r="B212" s="142">
        <v>14</v>
      </c>
      <c r="C212" s="143">
        <f t="shared" si="207"/>
        <v>355.59999999999997</v>
      </c>
      <c r="D212" s="143">
        <v>23.82</v>
      </c>
      <c r="E212" s="144" t="s">
        <v>95</v>
      </c>
      <c r="F212" s="144">
        <f t="shared" si="223"/>
        <v>194.8998430547621</v>
      </c>
      <c r="G212" s="145">
        <f t="shared" si="208"/>
        <v>3</v>
      </c>
      <c r="H212" s="145">
        <f t="shared" si="222"/>
        <v>2</v>
      </c>
      <c r="I212" s="145">
        <f t="shared" si="209"/>
        <v>3</v>
      </c>
      <c r="J212" s="146">
        <f t="shared" si="210"/>
        <v>13.044558795642326</v>
      </c>
      <c r="K212" s="147"/>
      <c r="L212" s="145">
        <f t="shared" si="211"/>
        <v>0.8498960470148013</v>
      </c>
      <c r="M212" s="145">
        <f t="shared" si="212"/>
        <v>9</v>
      </c>
      <c r="N212" s="145">
        <f t="shared" si="213"/>
        <v>65.46000000000001</v>
      </c>
      <c r="O212" s="145">
        <f t="shared" si="214"/>
        <v>221.75749952591954</v>
      </c>
      <c r="P212" s="145">
        <f t="shared" si="215"/>
        <v>129.84604573660337</v>
      </c>
      <c r="Q212" s="145">
        <f t="shared" si="216"/>
        <v>107.36672905594276</v>
      </c>
      <c r="R212" s="147">
        <f t="shared" si="217"/>
        <v>524.4302743184656</v>
      </c>
      <c r="S212" s="147"/>
      <c r="T212" s="128">
        <f t="shared" si="218"/>
        <v>0</v>
      </c>
      <c r="U212" s="128">
        <f t="shared" si="219"/>
        <v>0</v>
      </c>
      <c r="V212" s="150">
        <f t="shared" si="220"/>
        <v>0.14425129250772925</v>
      </c>
      <c r="W212" s="150">
        <f t="shared" si="221"/>
        <v>8.548124455434678</v>
      </c>
      <c r="X212" s="150">
        <f t="shared" si="224"/>
        <v>8.692375747942407</v>
      </c>
    </row>
    <row r="213" spans="1:24" ht="12.75">
      <c r="A213" s="141">
        <v>196</v>
      </c>
      <c r="B213" s="142">
        <v>14</v>
      </c>
      <c r="C213" s="143">
        <f t="shared" si="207"/>
        <v>355.59999999999997</v>
      </c>
      <c r="D213" s="143">
        <v>27.79</v>
      </c>
      <c r="E213" s="144" t="s">
        <v>91</v>
      </c>
      <c r="F213" s="144">
        <f t="shared" si="223"/>
        <v>224.66233792597046</v>
      </c>
      <c r="G213" s="145">
        <f t="shared" si="208"/>
        <v>3</v>
      </c>
      <c r="H213" s="145">
        <f t="shared" si="222"/>
        <v>2</v>
      </c>
      <c r="I213" s="145">
        <f t="shared" si="209"/>
        <v>3</v>
      </c>
      <c r="J213" s="146">
        <f t="shared" si="210"/>
        <v>13.044558795642326</v>
      </c>
      <c r="K213" s="147"/>
      <c r="L213" s="145">
        <f t="shared" si="211"/>
        <v>1.549914160427407</v>
      </c>
      <c r="M213" s="145">
        <f t="shared" si="212"/>
        <v>9</v>
      </c>
      <c r="N213" s="145">
        <f t="shared" si="213"/>
        <v>77.37</v>
      </c>
      <c r="O213" s="145">
        <f t="shared" si="214"/>
        <v>221.75749952591954</v>
      </c>
      <c r="P213" s="145">
        <f t="shared" si="215"/>
        <v>242.94708909754897</v>
      </c>
      <c r="Q213" s="145">
        <f t="shared" si="216"/>
        <v>111.56683773641839</v>
      </c>
      <c r="R213" s="147">
        <f t="shared" si="217"/>
        <v>653.641426359887</v>
      </c>
      <c r="S213" s="147"/>
      <c r="T213" s="128">
        <f t="shared" si="218"/>
        <v>0</v>
      </c>
      <c r="U213" s="128">
        <f t="shared" si="219"/>
        <v>0</v>
      </c>
      <c r="V213" s="150">
        <f t="shared" si="220"/>
        <v>0.14057981134824932</v>
      </c>
      <c r="W213" s="150">
        <f t="shared" si="221"/>
        <v>10.592710143104298</v>
      </c>
      <c r="X213" s="150">
        <f t="shared" si="224"/>
        <v>10.733289954452548</v>
      </c>
    </row>
    <row r="214" spans="1:24" ht="12.75">
      <c r="A214" s="141">
        <v>197</v>
      </c>
      <c r="B214" s="142">
        <v>14</v>
      </c>
      <c r="C214" s="143">
        <f t="shared" si="207"/>
        <v>355.59999999999997</v>
      </c>
      <c r="D214" s="143">
        <v>31.75</v>
      </c>
      <c r="E214" s="144" t="s">
        <v>96</v>
      </c>
      <c r="F214" s="144">
        <f t="shared" si="223"/>
        <v>253.57542407085398</v>
      </c>
      <c r="G214" s="145">
        <f t="shared" si="208"/>
        <v>3</v>
      </c>
      <c r="H214" s="145">
        <f t="shared" si="222"/>
        <v>2</v>
      </c>
      <c r="I214" s="145">
        <f t="shared" si="209"/>
        <v>3</v>
      </c>
      <c r="J214" s="146">
        <f t="shared" si="210"/>
        <v>13.044558795642326</v>
      </c>
      <c r="K214" s="147"/>
      <c r="L214" s="145">
        <f t="shared" si="211"/>
        <v>2.2481690040329285</v>
      </c>
      <c r="M214" s="145">
        <f t="shared" si="212"/>
        <v>9</v>
      </c>
      <c r="N214" s="145">
        <f t="shared" si="213"/>
        <v>89.25</v>
      </c>
      <c r="O214" s="145">
        <f t="shared" si="214"/>
        <v>221.75749952591954</v>
      </c>
      <c r="P214" s="145">
        <f t="shared" si="215"/>
        <v>361.30040409029914</v>
      </c>
      <c r="Q214" s="145">
        <f t="shared" si="216"/>
        <v>115.75636679805153</v>
      </c>
      <c r="R214" s="147">
        <f t="shared" si="217"/>
        <v>788.0642704142703</v>
      </c>
      <c r="S214" s="147"/>
      <c r="T214" s="128">
        <f t="shared" si="218"/>
        <v>0</v>
      </c>
      <c r="U214" s="128">
        <f t="shared" si="219"/>
        <v>0</v>
      </c>
      <c r="V214" s="150">
        <f t="shared" si="220"/>
        <v>0.13691757825214335</v>
      </c>
      <c r="W214" s="150">
        <f t="shared" si="221"/>
        <v>12.697123120566491</v>
      </c>
      <c r="X214" s="150">
        <f t="shared" si="224"/>
        <v>12.834040698818635</v>
      </c>
    </row>
    <row r="215" spans="1:24" ht="12.75">
      <c r="A215" s="141">
        <v>198</v>
      </c>
      <c r="B215" s="142">
        <v>14</v>
      </c>
      <c r="C215" s="143">
        <f t="shared" si="207"/>
        <v>355.59999999999997</v>
      </c>
      <c r="D215" s="143">
        <v>35.71</v>
      </c>
      <c r="E215" s="144" t="s">
        <v>90</v>
      </c>
      <c r="F215" s="144">
        <f t="shared" si="223"/>
        <v>281.7150465858399</v>
      </c>
      <c r="G215" s="145">
        <f t="shared" si="208"/>
        <v>3</v>
      </c>
      <c r="H215" s="145">
        <f t="shared" si="222"/>
        <v>2</v>
      </c>
      <c r="I215" s="145">
        <f t="shared" si="209"/>
        <v>3</v>
      </c>
      <c r="J215" s="146">
        <f t="shared" si="210"/>
        <v>13.044558795642326</v>
      </c>
      <c r="K215" s="147"/>
      <c r="L215" s="145">
        <f t="shared" si="211"/>
        <v>2.94642384763845</v>
      </c>
      <c r="M215" s="145">
        <f t="shared" si="212"/>
        <v>9</v>
      </c>
      <c r="N215" s="145">
        <f t="shared" si="213"/>
        <v>101.13</v>
      </c>
      <c r="O215" s="145">
        <f t="shared" si="214"/>
        <v>221.75749952591954</v>
      </c>
      <c r="P215" s="145">
        <f t="shared" si="215"/>
        <v>485.18389744440503</v>
      </c>
      <c r="Q215" s="145">
        <f t="shared" si="216"/>
        <v>119.94589585968464</v>
      </c>
      <c r="R215" s="147">
        <f t="shared" si="217"/>
        <v>928.0172928300092</v>
      </c>
      <c r="S215" s="147"/>
      <c r="T215" s="128">
        <f t="shared" si="218"/>
        <v>0</v>
      </c>
      <c r="U215" s="128">
        <f t="shared" si="219"/>
        <v>0</v>
      </c>
      <c r="V215" s="150">
        <f t="shared" si="220"/>
        <v>0.13325534515603737</v>
      </c>
      <c r="W215" s="150">
        <f t="shared" si="221"/>
        <v>14.864872319792983</v>
      </c>
      <c r="X215" s="150">
        <f t="shared" si="224"/>
        <v>14.99812766494902</v>
      </c>
    </row>
    <row r="216" spans="1:24" ht="12.75">
      <c r="A216" s="141">
        <v>199</v>
      </c>
      <c r="B216" s="142"/>
      <c r="C216" s="143"/>
      <c r="D216" s="143"/>
      <c r="E216" s="144"/>
      <c r="F216" s="144">
        <f t="shared" si="223"/>
        <v>0</v>
      </c>
      <c r="G216" s="145"/>
      <c r="H216" s="145">
        <f t="shared" si="222"/>
        <v>0</v>
      </c>
      <c r="I216" s="145"/>
      <c r="J216" s="146"/>
      <c r="K216" s="147"/>
      <c r="L216" s="145"/>
      <c r="M216" s="145"/>
      <c r="N216" s="145"/>
      <c r="O216" s="145"/>
      <c r="P216" s="145"/>
      <c r="Q216" s="145"/>
      <c r="R216" s="147"/>
      <c r="S216" s="147"/>
      <c r="T216" s="128"/>
      <c r="U216" s="128"/>
      <c r="V216" s="150"/>
      <c r="W216" s="150"/>
      <c r="X216" s="150">
        <f t="shared" si="224"/>
        <v>0</v>
      </c>
    </row>
    <row r="217" spans="1:24" ht="12.75">
      <c r="A217" s="141">
        <v>200</v>
      </c>
      <c r="B217" s="142">
        <v>16</v>
      </c>
      <c r="C217" s="143">
        <f t="shared" si="207"/>
        <v>406.4</v>
      </c>
      <c r="D217" s="143">
        <v>4.19</v>
      </c>
      <c r="E217" s="144" t="s">
        <v>81</v>
      </c>
      <c r="F217" s="144">
        <f t="shared" si="223"/>
        <v>41.561040951651336</v>
      </c>
      <c r="G217" s="145">
        <f t="shared" si="1"/>
        <v>3</v>
      </c>
      <c r="H217" s="145">
        <f t="shared" si="222"/>
        <v>2</v>
      </c>
      <c r="I217" s="145">
        <f>IF(D217&lt;=19,2,3)</f>
        <v>2</v>
      </c>
      <c r="J217" s="146">
        <f>IF(D217&lt;=19,(D217-H217)*TAN($C$8*PI()/180),(19-H217)*TAN($C$8*PI()/180))</f>
        <v>1.6804461036739236</v>
      </c>
      <c r="K217" s="147"/>
      <c r="L217" s="145">
        <f>IF(D217&lt;=19,0,(D217-19)*TAN($C$10*PI()/180))</f>
        <v>0</v>
      </c>
      <c r="M217" s="145">
        <f>+G217*(H217*1.5)</f>
        <v>9</v>
      </c>
      <c r="N217" s="145">
        <f>+G217*(D217-H217)</f>
        <v>6.570000000000001</v>
      </c>
      <c r="O217" s="145">
        <f>IF(D217&lt;=19,(D217-H217)*J217,(19-H217)*J217)</f>
        <v>3.680176967045893</v>
      </c>
      <c r="P217" s="145">
        <f>IF(D217&lt;=19,0,(J217*(D217-19)*2)+((L217)*(D217-19)))</f>
        <v>0</v>
      </c>
      <c r="Q217" s="145">
        <f>+(5+G217+(2*(J217+L217)))*I217</f>
        <v>22.721784414695694</v>
      </c>
      <c r="R217" s="147">
        <f>SUM(N217:Q217)</f>
        <v>32.971961381741586</v>
      </c>
      <c r="S217" s="147"/>
      <c r="T217" s="128">
        <f>IF(D$6=1,(PI()*(C217-(2*D217)+(2*H217))*M217*0.1*0.01*7.85*0.001/(T$16*T$17)),0)</f>
        <v>0</v>
      </c>
      <c r="U217" s="128">
        <f>IF(D$6=1,(PI()*(C217-(0.5*D217))*(R217)*0.1*0.01*7.85*0.001/(U$16*U$17)),0)</f>
        <v>0</v>
      </c>
      <c r="V217" s="150">
        <f>IF(D$6=1,0,(PI()*(C217-(2*D217)+(2*H217))*M217*0.1*0.01*7.85*0.001/(V$16*V$17)))</f>
        <v>0.18589532188087357</v>
      </c>
      <c r="W217" s="150">
        <f>IF(D$6=1,0,(PI()*(C217-(0.5*D217))*(R217)*0.1*0.01*7.85*0.001/(W$16*W$17)))</f>
        <v>0.632222693300511</v>
      </c>
      <c r="X217" s="150">
        <f t="shared" si="224"/>
        <v>0.8181180151813845</v>
      </c>
    </row>
    <row r="218" spans="1:24" ht="12.75">
      <c r="A218" s="141">
        <v>201</v>
      </c>
      <c r="B218" s="142">
        <v>16</v>
      </c>
      <c r="C218" s="143">
        <f t="shared" si="207"/>
        <v>406.4</v>
      </c>
      <c r="D218" s="143">
        <v>4.78</v>
      </c>
      <c r="E218" s="144" t="s">
        <v>84</v>
      </c>
      <c r="F218" s="144">
        <f t="shared" si="223"/>
        <v>47.34376126570777</v>
      </c>
      <c r="G218" s="145">
        <f aca="true" t="shared" si="225" ref="G218:G230">IF($D$6=1,2,3)</f>
        <v>3</v>
      </c>
      <c r="H218" s="145">
        <f t="shared" si="222"/>
        <v>2</v>
      </c>
      <c r="I218" s="145">
        <f aca="true" t="shared" si="226" ref="I218:I230">IF(D218&lt;=19,2,3)</f>
        <v>2</v>
      </c>
      <c r="J218" s="146">
        <f aca="true" t="shared" si="227" ref="J218:J230">IF(D218&lt;=19,(D218-H218)*TAN($C$8*PI()/180),(19-H218)*TAN($C$8*PI()/180))</f>
        <v>2.13316902658151</v>
      </c>
      <c r="K218" s="147"/>
      <c r="L218" s="145">
        <f aca="true" t="shared" si="228" ref="L218:L230">IF(D218&lt;=19,0,(D218-19)*TAN($C$10*PI()/180))</f>
        <v>0</v>
      </c>
      <c r="M218" s="145">
        <f aca="true" t="shared" si="229" ref="M218:M230">+G218*(H218*1.5)</f>
        <v>9</v>
      </c>
      <c r="N218" s="145">
        <f aca="true" t="shared" si="230" ref="N218:N230">+G218*(D218-H218)</f>
        <v>8.34</v>
      </c>
      <c r="O218" s="145">
        <f aca="true" t="shared" si="231" ref="O218:O230">IF(D218&lt;=19,(D218-H218)*J218,(19-H218)*J218)</f>
        <v>5.930209893896598</v>
      </c>
      <c r="P218" s="145">
        <f aca="true" t="shared" si="232" ref="P218:P230">IF(D218&lt;=19,0,(J218*(D218-19)*2)+((L218)*(D218-19)))</f>
        <v>0</v>
      </c>
      <c r="Q218" s="145">
        <f aca="true" t="shared" si="233" ref="Q218:Q230">+(5+G218+(2*(J218+L218)))*I218</f>
        <v>24.53267610632604</v>
      </c>
      <c r="R218" s="147">
        <f aca="true" t="shared" si="234" ref="R218:R230">SUM(N218:Q218)</f>
        <v>38.80288600022264</v>
      </c>
      <c r="S218" s="147"/>
      <c r="T218" s="128">
        <f aca="true" t="shared" si="235" ref="T218:T230">IF(D$6=1,(PI()*(C218-(2*D218)+(2*H218))*M218*0.1*0.01*7.85*0.001/(T$16*T$17)),0)</f>
        <v>0</v>
      </c>
      <c r="U218" s="128">
        <f aca="true" t="shared" si="236" ref="U218:U230">IF(D$6=1,(PI()*(C218-(0.5*D218))*(R218)*0.1*0.01*7.85*0.001/(U$16*U$17)),0)</f>
        <v>0</v>
      </c>
      <c r="V218" s="150">
        <f aca="true" t="shared" si="237" ref="V218:V230">IF(D$6=1,0,(PI()*(C218-(2*D218)+(2*H218))*M218*0.1*0.01*7.85*0.001/(V$16*V$17)))</f>
        <v>0.1853496861418073</v>
      </c>
      <c r="W218" s="150">
        <f aca="true" t="shared" si="238" ref="W218:W230">IF(D$6=1,0,(PI()*(C218-(0.5*D218))*(R218)*0.1*0.01*7.85*0.001/(W$16*W$17)))</f>
        <v>0.7434852012334618</v>
      </c>
      <c r="X218" s="150">
        <f t="shared" si="224"/>
        <v>0.9288348873752692</v>
      </c>
    </row>
    <row r="219" spans="1:24" ht="12.75">
      <c r="A219" s="141">
        <v>202</v>
      </c>
      <c r="B219" s="142">
        <v>16</v>
      </c>
      <c r="C219" s="143">
        <f t="shared" si="207"/>
        <v>406.4</v>
      </c>
      <c r="D219" s="143">
        <v>6.35</v>
      </c>
      <c r="E219" s="144" t="s">
        <v>97</v>
      </c>
      <c r="F219" s="144">
        <f t="shared" si="223"/>
        <v>62.64804594691686</v>
      </c>
      <c r="G219" s="145">
        <f t="shared" si="225"/>
        <v>3</v>
      </c>
      <c r="H219" s="145">
        <f t="shared" si="222"/>
        <v>2</v>
      </c>
      <c r="I219" s="145">
        <f t="shared" si="226"/>
        <v>2</v>
      </c>
      <c r="J219" s="146">
        <f t="shared" si="227"/>
        <v>3.337872397708477</v>
      </c>
      <c r="K219" s="147"/>
      <c r="L219" s="145">
        <f t="shared" si="228"/>
        <v>0</v>
      </c>
      <c r="M219" s="145">
        <f t="shared" si="229"/>
        <v>9</v>
      </c>
      <c r="N219" s="145">
        <f t="shared" si="230"/>
        <v>13.049999999999999</v>
      </c>
      <c r="O219" s="145">
        <f t="shared" si="231"/>
        <v>14.519744930031875</v>
      </c>
      <c r="P219" s="145">
        <f t="shared" si="232"/>
        <v>0</v>
      </c>
      <c r="Q219" s="145">
        <f t="shared" si="233"/>
        <v>29.351489590833907</v>
      </c>
      <c r="R219" s="147">
        <f t="shared" si="234"/>
        <v>56.92123452086578</v>
      </c>
      <c r="S219" s="147"/>
      <c r="T219" s="128">
        <f t="shared" si="235"/>
        <v>0</v>
      </c>
      <c r="U219" s="128">
        <f t="shared" si="236"/>
        <v>0</v>
      </c>
      <c r="V219" s="150">
        <f t="shared" si="237"/>
        <v>0.18389774019208846</v>
      </c>
      <c r="W219" s="150">
        <f t="shared" si="238"/>
        <v>1.0885238448163705</v>
      </c>
      <c r="X219" s="150">
        <f t="shared" si="224"/>
        <v>1.272421585008459</v>
      </c>
    </row>
    <row r="220" spans="1:24" ht="12.75">
      <c r="A220" s="141">
        <v>203</v>
      </c>
      <c r="B220" s="142">
        <v>16</v>
      </c>
      <c r="C220" s="143">
        <f t="shared" si="207"/>
        <v>406.4</v>
      </c>
      <c r="D220" s="143">
        <v>7.92</v>
      </c>
      <c r="E220" s="144" t="s">
        <v>92</v>
      </c>
      <c r="F220" s="144">
        <f t="shared" si="223"/>
        <v>77.83075435393617</v>
      </c>
      <c r="G220" s="145">
        <f t="shared" si="225"/>
        <v>3</v>
      </c>
      <c r="H220" s="145">
        <f t="shared" si="222"/>
        <v>2</v>
      </c>
      <c r="I220" s="145">
        <f t="shared" si="226"/>
        <v>2</v>
      </c>
      <c r="J220" s="146">
        <f t="shared" si="227"/>
        <v>4.542575768835445</v>
      </c>
      <c r="K220" s="147"/>
      <c r="L220" s="145">
        <f t="shared" si="228"/>
        <v>0</v>
      </c>
      <c r="M220" s="145">
        <f t="shared" si="229"/>
        <v>9</v>
      </c>
      <c r="N220" s="145">
        <f t="shared" si="230"/>
        <v>17.759999999999998</v>
      </c>
      <c r="O220" s="145">
        <f t="shared" si="231"/>
        <v>26.892048551505837</v>
      </c>
      <c r="P220" s="145">
        <f t="shared" si="232"/>
        <v>0</v>
      </c>
      <c r="Q220" s="145">
        <f t="shared" si="233"/>
        <v>34.17030307534178</v>
      </c>
      <c r="R220" s="147">
        <f t="shared" si="234"/>
        <v>78.82235162684762</v>
      </c>
      <c r="S220" s="147"/>
      <c r="T220" s="128">
        <f t="shared" si="235"/>
        <v>0</v>
      </c>
      <c r="U220" s="128">
        <f t="shared" si="236"/>
        <v>0</v>
      </c>
      <c r="V220" s="150">
        <f t="shared" si="237"/>
        <v>0.18244579424236973</v>
      </c>
      <c r="W220" s="150">
        <f t="shared" si="238"/>
        <v>1.504411739820106</v>
      </c>
      <c r="X220" s="150">
        <f t="shared" si="224"/>
        <v>1.6868575340624758</v>
      </c>
    </row>
    <row r="221" spans="1:24" ht="12.75">
      <c r="A221" s="141">
        <v>204</v>
      </c>
      <c r="B221" s="142">
        <v>16</v>
      </c>
      <c r="C221" s="143">
        <f t="shared" si="207"/>
        <v>406.4</v>
      </c>
      <c r="D221" s="143">
        <v>9.52</v>
      </c>
      <c r="E221" s="144" t="s">
        <v>93</v>
      </c>
      <c r="F221" s="144">
        <f t="shared" si="223"/>
        <v>93.17849506840217</v>
      </c>
      <c r="G221" s="145">
        <f t="shared" si="225"/>
        <v>3</v>
      </c>
      <c r="H221" s="145">
        <f t="shared" si="222"/>
        <v>2</v>
      </c>
      <c r="I221" s="145">
        <f t="shared" si="226"/>
        <v>2</v>
      </c>
      <c r="J221" s="146">
        <f t="shared" si="227"/>
        <v>5.770298949601782</v>
      </c>
      <c r="K221" s="147"/>
      <c r="L221" s="145">
        <f t="shared" si="228"/>
        <v>0</v>
      </c>
      <c r="M221" s="145">
        <f t="shared" si="229"/>
        <v>9</v>
      </c>
      <c r="N221" s="145">
        <f t="shared" si="230"/>
        <v>22.56</v>
      </c>
      <c r="O221" s="145">
        <f t="shared" si="231"/>
        <v>43.39264810100539</v>
      </c>
      <c r="P221" s="145">
        <f t="shared" si="232"/>
        <v>0</v>
      </c>
      <c r="Q221" s="145">
        <f t="shared" si="233"/>
        <v>39.08119579840712</v>
      </c>
      <c r="R221" s="147">
        <f t="shared" si="234"/>
        <v>105.03384389941252</v>
      </c>
      <c r="S221" s="147"/>
      <c r="T221" s="128">
        <f t="shared" si="235"/>
        <v>0</v>
      </c>
      <c r="U221" s="128">
        <f t="shared" si="236"/>
        <v>0</v>
      </c>
      <c r="V221" s="150">
        <f t="shared" si="237"/>
        <v>0.1809661041025289</v>
      </c>
      <c r="W221" s="150">
        <f t="shared" si="238"/>
        <v>2.000701988391341</v>
      </c>
      <c r="X221" s="150">
        <f t="shared" si="224"/>
        <v>2.18166809249387</v>
      </c>
    </row>
    <row r="222" spans="1:24" ht="12.75">
      <c r="A222" s="141">
        <v>205</v>
      </c>
      <c r="B222" s="142">
        <v>16</v>
      </c>
      <c r="C222" s="143">
        <f t="shared" si="207"/>
        <v>406.4</v>
      </c>
      <c r="D222" s="143">
        <v>9.52</v>
      </c>
      <c r="E222" s="144" t="s">
        <v>86</v>
      </c>
      <c r="F222" s="144">
        <f t="shared" si="223"/>
        <v>93.17849506840217</v>
      </c>
      <c r="G222" s="145">
        <f t="shared" si="225"/>
        <v>3</v>
      </c>
      <c r="H222" s="145">
        <f t="shared" si="222"/>
        <v>2</v>
      </c>
      <c r="I222" s="145">
        <f t="shared" si="226"/>
        <v>2</v>
      </c>
      <c r="J222" s="146">
        <f t="shared" si="227"/>
        <v>5.770298949601782</v>
      </c>
      <c r="K222" s="147"/>
      <c r="L222" s="145">
        <f t="shared" si="228"/>
        <v>0</v>
      </c>
      <c r="M222" s="145">
        <f t="shared" si="229"/>
        <v>9</v>
      </c>
      <c r="N222" s="145">
        <f t="shared" si="230"/>
        <v>22.56</v>
      </c>
      <c r="O222" s="145">
        <f t="shared" si="231"/>
        <v>43.39264810100539</v>
      </c>
      <c r="P222" s="145">
        <f t="shared" si="232"/>
        <v>0</v>
      </c>
      <c r="Q222" s="145">
        <f t="shared" si="233"/>
        <v>39.08119579840712</v>
      </c>
      <c r="R222" s="147">
        <f t="shared" si="234"/>
        <v>105.03384389941252</v>
      </c>
      <c r="S222" s="147"/>
      <c r="T222" s="128">
        <f t="shared" si="235"/>
        <v>0</v>
      </c>
      <c r="U222" s="128">
        <f t="shared" si="236"/>
        <v>0</v>
      </c>
      <c r="V222" s="150">
        <f t="shared" si="237"/>
        <v>0.1809661041025289</v>
      </c>
      <c r="W222" s="150">
        <f t="shared" si="238"/>
        <v>2.000701988391341</v>
      </c>
      <c r="X222" s="150">
        <f t="shared" si="224"/>
        <v>2.18166809249387</v>
      </c>
    </row>
    <row r="223" spans="1:24" ht="12.75">
      <c r="A223" s="141">
        <v>206</v>
      </c>
      <c r="B223" s="142">
        <v>16</v>
      </c>
      <c r="C223" s="143">
        <f t="shared" si="207"/>
        <v>406.4</v>
      </c>
      <c r="D223" s="143">
        <v>12.7</v>
      </c>
      <c r="E223" s="144" t="s">
        <v>87</v>
      </c>
      <c r="F223" s="144">
        <f t="shared" si="223"/>
        <v>123.30726503837604</v>
      </c>
      <c r="G223" s="145">
        <f t="shared" si="225"/>
        <v>3</v>
      </c>
      <c r="H223" s="145">
        <f t="shared" si="222"/>
        <v>2</v>
      </c>
      <c r="I223" s="145">
        <f t="shared" si="226"/>
        <v>2</v>
      </c>
      <c r="J223" s="146">
        <f t="shared" si="227"/>
        <v>8.210398771374875</v>
      </c>
      <c r="K223" s="147"/>
      <c r="L223" s="145">
        <f t="shared" si="228"/>
        <v>0</v>
      </c>
      <c r="M223" s="145">
        <f t="shared" si="229"/>
        <v>9</v>
      </c>
      <c r="N223" s="145">
        <f t="shared" si="230"/>
        <v>32.099999999999994</v>
      </c>
      <c r="O223" s="145">
        <f t="shared" si="231"/>
        <v>87.85126685371115</v>
      </c>
      <c r="P223" s="145">
        <f t="shared" si="232"/>
        <v>0</v>
      </c>
      <c r="Q223" s="145">
        <f t="shared" si="233"/>
        <v>48.8415950854995</v>
      </c>
      <c r="R223" s="147">
        <f t="shared" si="234"/>
        <v>168.79286193921064</v>
      </c>
      <c r="S223" s="147"/>
      <c r="T223" s="128">
        <f t="shared" si="235"/>
        <v>0</v>
      </c>
      <c r="U223" s="128">
        <f t="shared" si="236"/>
        <v>0</v>
      </c>
      <c r="V223" s="150">
        <f t="shared" si="237"/>
        <v>0.1780252199495954</v>
      </c>
      <c r="W223" s="150">
        <f t="shared" si="238"/>
        <v>3.2024660721621028</v>
      </c>
      <c r="X223" s="150">
        <f t="shared" si="224"/>
        <v>3.380491292111698</v>
      </c>
    </row>
    <row r="224" spans="1:24" ht="12.75">
      <c r="A224" s="141">
        <v>207</v>
      </c>
      <c r="B224" s="142">
        <v>16</v>
      </c>
      <c r="C224" s="143">
        <f t="shared" si="207"/>
        <v>406.4</v>
      </c>
      <c r="D224" s="143">
        <v>12.7</v>
      </c>
      <c r="E224" s="144" t="s">
        <v>82</v>
      </c>
      <c r="F224" s="144">
        <f t="shared" si="223"/>
        <v>123.30726503837604</v>
      </c>
      <c r="G224" s="145">
        <f t="shared" si="225"/>
        <v>3</v>
      </c>
      <c r="H224" s="145">
        <f t="shared" si="222"/>
        <v>2</v>
      </c>
      <c r="I224" s="145">
        <f t="shared" si="226"/>
        <v>2</v>
      </c>
      <c r="J224" s="146">
        <f t="shared" si="227"/>
        <v>8.210398771374875</v>
      </c>
      <c r="K224" s="147"/>
      <c r="L224" s="145">
        <f t="shared" si="228"/>
        <v>0</v>
      </c>
      <c r="M224" s="145">
        <f t="shared" si="229"/>
        <v>9</v>
      </c>
      <c r="N224" s="145">
        <f t="shared" si="230"/>
        <v>32.099999999999994</v>
      </c>
      <c r="O224" s="145">
        <f t="shared" si="231"/>
        <v>87.85126685371115</v>
      </c>
      <c r="P224" s="145">
        <f t="shared" si="232"/>
        <v>0</v>
      </c>
      <c r="Q224" s="145">
        <f t="shared" si="233"/>
        <v>48.8415950854995</v>
      </c>
      <c r="R224" s="147">
        <f t="shared" si="234"/>
        <v>168.79286193921064</v>
      </c>
      <c r="S224" s="147"/>
      <c r="T224" s="128">
        <f t="shared" si="235"/>
        <v>0</v>
      </c>
      <c r="U224" s="128">
        <f t="shared" si="236"/>
        <v>0</v>
      </c>
      <c r="V224" s="150">
        <f t="shared" si="237"/>
        <v>0.1780252199495954</v>
      </c>
      <c r="W224" s="150">
        <f t="shared" si="238"/>
        <v>3.2024660721621028</v>
      </c>
      <c r="X224" s="150">
        <f t="shared" si="224"/>
        <v>3.380491292111698</v>
      </c>
    </row>
    <row r="225" spans="1:24" ht="12.75">
      <c r="A225" s="141">
        <v>208</v>
      </c>
      <c r="B225" s="142">
        <v>16</v>
      </c>
      <c r="C225" s="143">
        <f t="shared" si="207"/>
        <v>406.4</v>
      </c>
      <c r="D225" s="143">
        <v>16.64</v>
      </c>
      <c r="E225" s="144" t="s">
        <v>94</v>
      </c>
      <c r="F225" s="144">
        <f t="shared" si="223"/>
        <v>159.9447973494723</v>
      </c>
      <c r="G225" s="145">
        <f t="shared" si="225"/>
        <v>3</v>
      </c>
      <c r="H225" s="145">
        <f t="shared" si="222"/>
        <v>2</v>
      </c>
      <c r="I225" s="145">
        <f t="shared" si="226"/>
        <v>2</v>
      </c>
      <c r="J225" s="146">
        <f t="shared" si="227"/>
        <v>11.23366710401198</v>
      </c>
      <c r="K225" s="147"/>
      <c r="L225" s="145">
        <f t="shared" si="228"/>
        <v>0</v>
      </c>
      <c r="M225" s="145">
        <f t="shared" si="229"/>
        <v>9</v>
      </c>
      <c r="N225" s="145">
        <f t="shared" si="230"/>
        <v>43.92</v>
      </c>
      <c r="O225" s="145">
        <f t="shared" si="231"/>
        <v>164.46088640273538</v>
      </c>
      <c r="P225" s="145">
        <f t="shared" si="232"/>
        <v>0</v>
      </c>
      <c r="Q225" s="145">
        <f t="shared" si="233"/>
        <v>60.93466841604792</v>
      </c>
      <c r="R225" s="147">
        <f t="shared" si="234"/>
        <v>269.3155548187833</v>
      </c>
      <c r="S225" s="147"/>
      <c r="T225" s="128">
        <f t="shared" si="235"/>
        <v>0</v>
      </c>
      <c r="U225" s="128">
        <f t="shared" si="236"/>
        <v>0</v>
      </c>
      <c r="V225" s="150">
        <f t="shared" si="237"/>
        <v>0.1743814829802374</v>
      </c>
      <c r="W225" s="150">
        <f t="shared" si="238"/>
        <v>5.0844968439800615</v>
      </c>
      <c r="X225" s="150">
        <f t="shared" si="224"/>
        <v>5.258878326960299</v>
      </c>
    </row>
    <row r="226" spans="1:24" ht="12.75">
      <c r="A226" s="141">
        <v>209</v>
      </c>
      <c r="B226" s="142">
        <v>16</v>
      </c>
      <c r="C226" s="143">
        <f t="shared" si="207"/>
        <v>406.4</v>
      </c>
      <c r="D226" s="143">
        <v>21.44</v>
      </c>
      <c r="E226" s="144" t="s">
        <v>89</v>
      </c>
      <c r="F226" s="144">
        <f t="shared" si="223"/>
        <v>203.54475513396517</v>
      </c>
      <c r="G226" s="145">
        <f t="shared" si="225"/>
        <v>3</v>
      </c>
      <c r="H226" s="145">
        <f t="shared" si="222"/>
        <v>2</v>
      </c>
      <c r="I226" s="145">
        <f t="shared" si="226"/>
        <v>3</v>
      </c>
      <c r="J226" s="146">
        <f t="shared" si="227"/>
        <v>13.044558795642326</v>
      </c>
      <c r="K226" s="147"/>
      <c r="L226" s="145">
        <f t="shared" si="228"/>
        <v>0.43023783292865475</v>
      </c>
      <c r="M226" s="145">
        <f t="shared" si="229"/>
        <v>9</v>
      </c>
      <c r="N226" s="145">
        <f t="shared" si="230"/>
        <v>58.32000000000001</v>
      </c>
      <c r="O226" s="145">
        <f t="shared" si="231"/>
        <v>221.75749952591954</v>
      </c>
      <c r="P226" s="145">
        <f t="shared" si="232"/>
        <v>64.70722723508051</v>
      </c>
      <c r="Q226" s="145">
        <f t="shared" si="233"/>
        <v>104.84877977142587</v>
      </c>
      <c r="R226" s="147">
        <f t="shared" si="234"/>
        <v>449.63350653242594</v>
      </c>
      <c r="S226" s="147"/>
      <c r="T226" s="128">
        <f t="shared" si="235"/>
        <v>0</v>
      </c>
      <c r="U226" s="128">
        <f t="shared" si="236"/>
        <v>0</v>
      </c>
      <c r="V226" s="150">
        <f t="shared" si="237"/>
        <v>0.16994241256071504</v>
      </c>
      <c r="W226" s="150">
        <f t="shared" si="238"/>
        <v>8.437600370302103</v>
      </c>
      <c r="X226" s="150">
        <f t="shared" si="224"/>
        <v>8.607542782862819</v>
      </c>
    </row>
    <row r="227" spans="1:24" ht="12.75">
      <c r="A227" s="141">
        <v>210</v>
      </c>
      <c r="B227" s="142">
        <v>16</v>
      </c>
      <c r="C227" s="143">
        <f t="shared" si="207"/>
        <v>406.4</v>
      </c>
      <c r="D227" s="143">
        <v>26.19</v>
      </c>
      <c r="E227" s="144" t="s">
        <v>95</v>
      </c>
      <c r="F227" s="144">
        <f t="shared" si="223"/>
        <v>245.57183929206076</v>
      </c>
      <c r="G227" s="145">
        <f t="shared" si="225"/>
        <v>3</v>
      </c>
      <c r="H227" s="145">
        <f t="shared" si="222"/>
        <v>2</v>
      </c>
      <c r="I227" s="145">
        <f t="shared" si="226"/>
        <v>3</v>
      </c>
      <c r="J227" s="146">
        <f t="shared" si="227"/>
        <v>13.044558795642326</v>
      </c>
      <c r="K227" s="147"/>
      <c r="L227" s="145">
        <f t="shared" si="228"/>
        <v>1.2677909912938634</v>
      </c>
      <c r="M227" s="145">
        <f t="shared" si="229"/>
        <v>9</v>
      </c>
      <c r="N227" s="145">
        <f t="shared" si="230"/>
        <v>72.57000000000001</v>
      </c>
      <c r="O227" s="145">
        <f t="shared" si="231"/>
        <v>221.75749952591954</v>
      </c>
      <c r="P227" s="145">
        <f t="shared" si="232"/>
        <v>196.69617270873954</v>
      </c>
      <c r="Q227" s="145">
        <f t="shared" si="233"/>
        <v>109.87409872161713</v>
      </c>
      <c r="R227" s="147">
        <f t="shared" si="234"/>
        <v>600.8977709562762</v>
      </c>
      <c r="S227" s="147"/>
      <c r="T227" s="128">
        <f t="shared" si="235"/>
        <v>0</v>
      </c>
      <c r="U227" s="128">
        <f t="shared" si="236"/>
        <v>0</v>
      </c>
      <c r="V227" s="150">
        <f t="shared" si="237"/>
        <v>0.16554958245806264</v>
      </c>
      <c r="W227" s="150">
        <f t="shared" si="238"/>
        <v>11.20846774397197</v>
      </c>
      <c r="X227" s="150">
        <f t="shared" si="224"/>
        <v>11.374017326430033</v>
      </c>
    </row>
    <row r="228" spans="1:24" ht="12.75">
      <c r="A228" s="141">
        <v>211</v>
      </c>
      <c r="B228" s="142">
        <v>16</v>
      </c>
      <c r="C228" s="143">
        <f t="shared" si="207"/>
        <v>406.4</v>
      </c>
      <c r="D228" s="143">
        <v>30.96</v>
      </c>
      <c r="E228" s="144" t="s">
        <v>91</v>
      </c>
      <c r="F228" s="144">
        <f t="shared" si="223"/>
        <v>286.6559909085428</v>
      </c>
      <c r="G228" s="145">
        <f t="shared" si="225"/>
        <v>3</v>
      </c>
      <c r="H228" s="145">
        <f t="shared" si="222"/>
        <v>2</v>
      </c>
      <c r="I228" s="145">
        <f t="shared" si="226"/>
        <v>3</v>
      </c>
      <c r="J228" s="146">
        <f t="shared" si="227"/>
        <v>13.044558795642326</v>
      </c>
      <c r="K228" s="147"/>
      <c r="L228" s="145">
        <f t="shared" si="228"/>
        <v>2.108870689273241</v>
      </c>
      <c r="M228" s="145">
        <f t="shared" si="229"/>
        <v>9</v>
      </c>
      <c r="N228" s="145">
        <f t="shared" si="230"/>
        <v>86.88</v>
      </c>
      <c r="O228" s="145">
        <f t="shared" si="231"/>
        <v>221.75749952591954</v>
      </c>
      <c r="P228" s="145">
        <f t="shared" si="232"/>
        <v>337.24793983547244</v>
      </c>
      <c r="Q228" s="145">
        <f t="shared" si="233"/>
        <v>114.9205769094934</v>
      </c>
      <c r="R228" s="147">
        <f t="shared" si="234"/>
        <v>760.8060162708854</v>
      </c>
      <c r="S228" s="147"/>
      <c r="T228" s="128">
        <f t="shared" si="235"/>
        <v>0</v>
      </c>
      <c r="U228" s="128">
        <f t="shared" si="236"/>
        <v>0</v>
      </c>
      <c r="V228" s="150">
        <f t="shared" si="237"/>
        <v>0.16113825622866226</v>
      </c>
      <c r="W228" s="150">
        <f t="shared" si="238"/>
        <v>14.105159911048595</v>
      </c>
      <c r="X228" s="150">
        <f t="shared" si="224"/>
        <v>14.266298167277258</v>
      </c>
    </row>
    <row r="229" spans="1:24" ht="12.75">
      <c r="A229" s="141">
        <v>212</v>
      </c>
      <c r="B229" s="142">
        <v>16</v>
      </c>
      <c r="C229" s="143">
        <f t="shared" si="207"/>
        <v>406.4</v>
      </c>
      <c r="D229" s="143">
        <v>36.52</v>
      </c>
      <c r="E229" s="144" t="s">
        <v>96</v>
      </c>
      <c r="F229" s="144">
        <f t="shared" si="223"/>
        <v>333.12800752526476</v>
      </c>
      <c r="G229" s="145">
        <f t="shared" si="225"/>
        <v>3</v>
      </c>
      <c r="H229" s="145">
        <f t="shared" si="222"/>
        <v>2</v>
      </c>
      <c r="I229" s="145">
        <f t="shared" si="226"/>
        <v>3</v>
      </c>
      <c r="J229" s="146">
        <f t="shared" si="227"/>
        <v>13.044558795642326</v>
      </c>
      <c r="K229" s="147"/>
      <c r="L229" s="145">
        <f t="shared" si="228"/>
        <v>3.089248702012307</v>
      </c>
      <c r="M229" s="145">
        <f t="shared" si="229"/>
        <v>9</v>
      </c>
      <c r="N229" s="145">
        <f t="shared" si="230"/>
        <v>103.56</v>
      </c>
      <c r="O229" s="145">
        <f t="shared" si="231"/>
        <v>221.75749952591954</v>
      </c>
      <c r="P229" s="145">
        <f t="shared" si="232"/>
        <v>511.20497745856284</v>
      </c>
      <c r="Q229" s="145">
        <f t="shared" si="233"/>
        <v>120.8028449859278</v>
      </c>
      <c r="R229" s="147">
        <f t="shared" si="234"/>
        <v>957.3253219704102</v>
      </c>
      <c r="S229" s="147"/>
      <c r="T229" s="128">
        <f t="shared" si="235"/>
        <v>0</v>
      </c>
      <c r="U229" s="128">
        <f t="shared" si="236"/>
        <v>0</v>
      </c>
      <c r="V229" s="150">
        <f t="shared" si="237"/>
        <v>0.15599633299271554</v>
      </c>
      <c r="W229" s="150">
        <f t="shared" si="238"/>
        <v>17.622362628810013</v>
      </c>
      <c r="X229" s="150">
        <f t="shared" si="224"/>
        <v>17.778358961802727</v>
      </c>
    </row>
    <row r="230" spans="1:24" ht="12.75">
      <c r="A230" s="141">
        <v>213</v>
      </c>
      <c r="B230" s="142">
        <v>16</v>
      </c>
      <c r="C230" s="143">
        <f t="shared" si="207"/>
        <v>406.4</v>
      </c>
      <c r="D230" s="143">
        <v>40.49</v>
      </c>
      <c r="E230" s="144" t="s">
        <v>90</v>
      </c>
      <c r="F230" s="144">
        <f t="shared" si="223"/>
        <v>365.37731896849425</v>
      </c>
      <c r="G230" s="145">
        <f t="shared" si="225"/>
        <v>3</v>
      </c>
      <c r="H230" s="145">
        <f t="shared" si="222"/>
        <v>2</v>
      </c>
      <c r="I230" s="145">
        <f t="shared" si="226"/>
        <v>3</v>
      </c>
      <c r="J230" s="146">
        <f t="shared" si="227"/>
        <v>13.044558795642326</v>
      </c>
      <c r="K230" s="147"/>
      <c r="L230" s="145">
        <f t="shared" si="228"/>
        <v>3.7892668154249125</v>
      </c>
      <c r="M230" s="145">
        <f t="shared" si="229"/>
        <v>9</v>
      </c>
      <c r="N230" s="145">
        <f t="shared" si="230"/>
        <v>115.47</v>
      </c>
      <c r="O230" s="145">
        <f t="shared" si="231"/>
        <v>221.75749952591954</v>
      </c>
      <c r="P230" s="145">
        <f t="shared" si="232"/>
        <v>642.0864809001886</v>
      </c>
      <c r="Q230" s="145">
        <f t="shared" si="233"/>
        <v>125.00295366640341</v>
      </c>
      <c r="R230" s="147">
        <f t="shared" si="234"/>
        <v>1104.3169340925115</v>
      </c>
      <c r="S230" s="147"/>
      <c r="T230" s="128">
        <f t="shared" si="235"/>
        <v>0</v>
      </c>
      <c r="U230" s="128">
        <f t="shared" si="236"/>
        <v>0</v>
      </c>
      <c r="V230" s="150">
        <f t="shared" si="237"/>
        <v>0.15232485183323557</v>
      </c>
      <c r="W230" s="150">
        <f t="shared" si="238"/>
        <v>20.224210654475872</v>
      </c>
      <c r="X230" s="150">
        <f t="shared" si="224"/>
        <v>20.376535506309107</v>
      </c>
    </row>
    <row r="231" spans="1:24" ht="12.75">
      <c r="A231" s="141">
        <v>214</v>
      </c>
      <c r="B231" s="142"/>
      <c r="C231" s="143"/>
      <c r="D231" s="143"/>
      <c r="E231" s="144"/>
      <c r="F231" s="144">
        <f t="shared" si="223"/>
        <v>0</v>
      </c>
      <c r="G231" s="145"/>
      <c r="H231" s="145"/>
      <c r="I231" s="145"/>
      <c r="J231" s="146"/>
      <c r="K231" s="147"/>
      <c r="L231" s="145"/>
      <c r="M231" s="145"/>
      <c r="N231" s="145"/>
      <c r="O231" s="145"/>
      <c r="P231" s="145"/>
      <c r="Q231" s="145"/>
      <c r="R231" s="147"/>
      <c r="S231" s="147"/>
      <c r="T231" s="128"/>
      <c r="U231" s="128"/>
      <c r="V231" s="150"/>
      <c r="W231" s="150"/>
      <c r="X231" s="150">
        <f t="shared" si="224"/>
        <v>0</v>
      </c>
    </row>
    <row r="232" spans="1:24" ht="12.75">
      <c r="A232" s="141">
        <v>215</v>
      </c>
      <c r="B232" s="142">
        <v>18</v>
      </c>
      <c r="C232" s="143">
        <f t="shared" si="207"/>
        <v>457.2</v>
      </c>
      <c r="D232" s="143">
        <v>4.19</v>
      </c>
      <c r="E232" s="144" t="s">
        <v>81</v>
      </c>
      <c r="F232" s="144">
        <f t="shared" si="223"/>
        <v>46.81029104574121</v>
      </c>
      <c r="G232" s="145">
        <f t="shared" si="1"/>
        <v>3</v>
      </c>
      <c r="H232" s="145">
        <f t="shared" si="222"/>
        <v>2</v>
      </c>
      <c r="I232" s="145">
        <f>IF(D232&lt;=19,2,3)</f>
        <v>2</v>
      </c>
      <c r="J232" s="146">
        <f>IF(D232&lt;=19,(D232-H232)*TAN($C$8*PI()/180),(19-H232)*TAN($C$8*PI()/180))</f>
        <v>1.6804461036739236</v>
      </c>
      <c r="K232" s="147"/>
      <c r="L232" s="145">
        <f>IF(D232&lt;=19,0,(D232-19)*TAN($C$10*PI()/180))</f>
        <v>0</v>
      </c>
      <c r="M232" s="145">
        <f>+G232*(H232*1.5)</f>
        <v>9</v>
      </c>
      <c r="N232" s="145">
        <f>+G232*(D232-H232)</f>
        <v>6.570000000000001</v>
      </c>
      <c r="O232" s="145">
        <f>IF(D232&lt;=19,(D232-H232)*J232,(19-H232)*J232)</f>
        <v>3.680176967045893</v>
      </c>
      <c r="P232" s="145">
        <f>IF(D232&lt;=19,0,(J232*(D232-19)*2)+((L232)*(D232-19)))</f>
        <v>0</v>
      </c>
      <c r="Q232" s="145">
        <f>+(5+G232+(2*(J232+L232)))*I232</f>
        <v>22.721784414695694</v>
      </c>
      <c r="R232" s="147">
        <f>SUM(N232:Q232)</f>
        <v>32.971961381741586</v>
      </c>
      <c r="S232" s="147"/>
      <c r="T232" s="128">
        <f>IF(D$6=1,(PI()*(C232-(2*D232)+(2*H232))*M232*0.1*0.01*7.85*0.001/(T$16*T$17)),0)</f>
        <v>0</v>
      </c>
      <c r="U232" s="128">
        <f>IF(D$6=1,(PI()*(C232-(0.5*D232))*(R232)*0.1*0.01*7.85*0.001/(U$16*U$17)),0)</f>
        <v>0</v>
      </c>
      <c r="V232" s="150">
        <f>IF(D$6=1,0,(PI()*(C232-(2*D232)+(2*H232))*M232*0.1*0.01*7.85*0.001/(V$16*V$17)))</f>
        <v>0.20938540285084617</v>
      </c>
      <c r="W232" s="150">
        <f>IF(D$6=1,0,(PI()*(C232-(0.5*D232))*(R232)*0.1*0.01*7.85*0.001/(W$16*W$17)))</f>
        <v>0.7116600310026565</v>
      </c>
      <c r="X232" s="150">
        <f t="shared" si="224"/>
        <v>0.9210454338535027</v>
      </c>
    </row>
    <row r="233" spans="1:24" ht="12.75">
      <c r="A233" s="141">
        <v>216</v>
      </c>
      <c r="B233" s="142">
        <v>18</v>
      </c>
      <c r="C233" s="143">
        <f t="shared" si="207"/>
        <v>457.2</v>
      </c>
      <c r="D233" s="143">
        <v>4.78</v>
      </c>
      <c r="E233" s="144" t="s">
        <v>84</v>
      </c>
      <c r="F233" s="144">
        <f t="shared" si="223"/>
        <v>53.33216590765278</v>
      </c>
      <c r="G233" s="145">
        <f aca="true" t="shared" si="239" ref="G233:G245">IF($D$6=1,2,3)</f>
        <v>3</v>
      </c>
      <c r="H233" s="145">
        <f t="shared" si="222"/>
        <v>2</v>
      </c>
      <c r="I233" s="145">
        <f aca="true" t="shared" si="240" ref="I233:I245">IF(D233&lt;=19,2,3)</f>
        <v>2</v>
      </c>
      <c r="J233" s="146">
        <f aca="true" t="shared" si="241" ref="J233:J245">IF(D233&lt;=19,(D233-H233)*TAN($C$8*PI()/180),(19-H233)*TAN($C$8*PI()/180))</f>
        <v>2.13316902658151</v>
      </c>
      <c r="K233" s="147"/>
      <c r="L233" s="145">
        <f aca="true" t="shared" si="242" ref="L233:L245">IF(D233&lt;=19,0,(D233-19)*TAN($C$10*PI()/180))</f>
        <v>0</v>
      </c>
      <c r="M233" s="145">
        <f aca="true" t="shared" si="243" ref="M233:M245">+G233*(H233*1.5)</f>
        <v>9</v>
      </c>
      <c r="N233" s="145">
        <f aca="true" t="shared" si="244" ref="N233:N245">+G233*(D233-H233)</f>
        <v>8.34</v>
      </c>
      <c r="O233" s="145">
        <f aca="true" t="shared" si="245" ref="O233:O245">IF(D233&lt;=19,(D233-H233)*J233,(19-H233)*J233)</f>
        <v>5.930209893896598</v>
      </c>
      <c r="P233" s="145">
        <f aca="true" t="shared" si="246" ref="P233:P245">IF(D233&lt;=19,0,(J233*(D233-19)*2)+((L233)*(D233-19)))</f>
        <v>0</v>
      </c>
      <c r="Q233" s="145">
        <f aca="true" t="shared" si="247" ref="Q233:Q245">+(5+G233+(2*(J233+L233)))*I233</f>
        <v>24.53267610632604</v>
      </c>
      <c r="R233" s="147">
        <f aca="true" t="shared" si="248" ref="R233:R245">SUM(N233:Q233)</f>
        <v>38.80288600022264</v>
      </c>
      <c r="S233" s="147"/>
      <c r="T233" s="128">
        <f aca="true" t="shared" si="249" ref="T233:T245">IF(D$6=1,(PI()*(C233-(2*D233)+(2*H233))*M233*0.1*0.01*7.85*0.001/(T$16*T$17)),0)</f>
        <v>0</v>
      </c>
      <c r="U233" s="128">
        <f aca="true" t="shared" si="250" ref="U233:U245">IF(D$6=1,(PI()*(C233-(0.5*D233))*(R233)*0.1*0.01*7.85*0.001/(U$16*U$17)),0)</f>
        <v>0</v>
      </c>
      <c r="V233" s="150">
        <f aca="true" t="shared" si="251" ref="V233:V245">IF(D$6=1,0,(PI()*(C233-(2*D233)+(2*H233))*M233*0.1*0.01*7.85*0.001/(V$16*V$17)))</f>
        <v>0.2088397671117799</v>
      </c>
      <c r="W233" s="150">
        <f aca="true" t="shared" si="252" ref="W233:W245">IF(D$6=1,0,(PI()*(C233-(0.5*D233))*(R233)*0.1*0.01*7.85*0.001/(W$16*W$17)))</f>
        <v>0.8369706303630872</v>
      </c>
      <c r="X233" s="150">
        <f t="shared" si="224"/>
        <v>1.0458103974748671</v>
      </c>
    </row>
    <row r="234" spans="1:24" ht="12.75">
      <c r="A234" s="141">
        <v>217</v>
      </c>
      <c r="B234" s="142">
        <v>18</v>
      </c>
      <c r="C234" s="143">
        <f t="shared" si="207"/>
        <v>457.2</v>
      </c>
      <c r="D234" s="143">
        <v>6.35</v>
      </c>
      <c r="E234" s="144" t="s">
        <v>97</v>
      </c>
      <c r="F234" s="144">
        <f t="shared" si="223"/>
        <v>70.60335336874758</v>
      </c>
      <c r="G234" s="145">
        <f t="shared" si="239"/>
        <v>3</v>
      </c>
      <c r="H234" s="145">
        <f t="shared" si="222"/>
        <v>2</v>
      </c>
      <c r="I234" s="145">
        <f t="shared" si="240"/>
        <v>2</v>
      </c>
      <c r="J234" s="146">
        <f t="shared" si="241"/>
        <v>3.337872397708477</v>
      </c>
      <c r="K234" s="147"/>
      <c r="L234" s="145">
        <f t="shared" si="242"/>
        <v>0</v>
      </c>
      <c r="M234" s="145">
        <f t="shared" si="243"/>
        <v>9</v>
      </c>
      <c r="N234" s="145">
        <f t="shared" si="244"/>
        <v>13.049999999999999</v>
      </c>
      <c r="O234" s="145">
        <f t="shared" si="245"/>
        <v>14.519744930031875</v>
      </c>
      <c r="P234" s="145">
        <f t="shared" si="246"/>
        <v>0</v>
      </c>
      <c r="Q234" s="145">
        <f t="shared" si="247"/>
        <v>29.351489590833907</v>
      </c>
      <c r="R234" s="147">
        <f t="shared" si="248"/>
        <v>56.92123452086578</v>
      </c>
      <c r="S234" s="147"/>
      <c r="T234" s="128">
        <f t="shared" si="249"/>
        <v>0</v>
      </c>
      <c r="U234" s="128">
        <f t="shared" si="250"/>
        <v>0</v>
      </c>
      <c r="V234" s="150">
        <f t="shared" si="251"/>
        <v>0.20738782116206106</v>
      </c>
      <c r="W234" s="150">
        <f t="shared" si="252"/>
        <v>1.2256607071554413</v>
      </c>
      <c r="X234" s="150">
        <f t="shared" si="224"/>
        <v>1.4330485283175023</v>
      </c>
    </row>
    <row r="235" spans="1:24" ht="12.75">
      <c r="A235" s="141">
        <v>218</v>
      </c>
      <c r="B235" s="142">
        <v>18</v>
      </c>
      <c r="C235" s="143">
        <f t="shared" si="207"/>
        <v>457.2</v>
      </c>
      <c r="D235" s="143">
        <v>7.92</v>
      </c>
      <c r="E235" s="144" t="s">
        <v>92</v>
      </c>
      <c r="F235" s="144">
        <f t="shared" si="223"/>
        <v>87.75296455565261</v>
      </c>
      <c r="G235" s="145">
        <f t="shared" si="239"/>
        <v>3</v>
      </c>
      <c r="H235" s="145">
        <f t="shared" si="222"/>
        <v>2</v>
      </c>
      <c r="I235" s="145">
        <f t="shared" si="240"/>
        <v>2</v>
      </c>
      <c r="J235" s="146">
        <f t="shared" si="241"/>
        <v>4.542575768835445</v>
      </c>
      <c r="K235" s="147"/>
      <c r="L235" s="145">
        <f t="shared" si="242"/>
        <v>0</v>
      </c>
      <c r="M235" s="145">
        <f t="shared" si="243"/>
        <v>9</v>
      </c>
      <c r="N235" s="145">
        <f t="shared" si="244"/>
        <v>17.759999999999998</v>
      </c>
      <c r="O235" s="145">
        <f t="shared" si="245"/>
        <v>26.892048551505837</v>
      </c>
      <c r="P235" s="145">
        <f t="shared" si="246"/>
        <v>0</v>
      </c>
      <c r="Q235" s="145">
        <f t="shared" si="247"/>
        <v>34.17030307534178</v>
      </c>
      <c r="R235" s="147">
        <f t="shared" si="248"/>
        <v>78.82235162684762</v>
      </c>
      <c r="S235" s="147"/>
      <c r="T235" s="128">
        <f t="shared" si="249"/>
        <v>0</v>
      </c>
      <c r="U235" s="128">
        <f t="shared" si="250"/>
        <v>0</v>
      </c>
      <c r="V235" s="150">
        <f t="shared" si="251"/>
        <v>0.20593587521234236</v>
      </c>
      <c r="W235" s="150">
        <f t="shared" si="252"/>
        <v>1.6943136292517265</v>
      </c>
      <c r="X235" s="150">
        <f t="shared" si="224"/>
        <v>1.9002495044640688</v>
      </c>
    </row>
    <row r="236" spans="1:24" ht="12.75">
      <c r="A236" s="141">
        <v>219</v>
      </c>
      <c r="B236" s="142">
        <v>18</v>
      </c>
      <c r="C236" s="143">
        <f t="shared" si="207"/>
        <v>457.2</v>
      </c>
      <c r="D236" s="143">
        <v>9.521</v>
      </c>
      <c r="E236" s="144" t="s">
        <v>86</v>
      </c>
      <c r="F236" s="144">
        <f t="shared" si="223"/>
        <v>105.11599783875596</v>
      </c>
      <c r="G236" s="145">
        <f t="shared" si="239"/>
        <v>3</v>
      </c>
      <c r="H236" s="145">
        <f t="shared" si="222"/>
        <v>2</v>
      </c>
      <c r="I236" s="145">
        <f t="shared" si="240"/>
        <v>2</v>
      </c>
      <c r="J236" s="146">
        <f t="shared" si="241"/>
        <v>5.771066276589762</v>
      </c>
      <c r="K236" s="147"/>
      <c r="L236" s="145">
        <f t="shared" si="242"/>
        <v>0</v>
      </c>
      <c r="M236" s="145">
        <f t="shared" si="243"/>
        <v>9</v>
      </c>
      <c r="N236" s="145">
        <f t="shared" si="244"/>
        <v>22.563000000000002</v>
      </c>
      <c r="O236" s="145">
        <f t="shared" si="245"/>
        <v>43.40418946623161</v>
      </c>
      <c r="P236" s="145">
        <f t="shared" si="246"/>
        <v>0</v>
      </c>
      <c r="Q236" s="145">
        <f t="shared" si="247"/>
        <v>39.08426510635905</v>
      </c>
      <c r="R236" s="147">
        <f t="shared" si="248"/>
        <v>105.05145457259067</v>
      </c>
      <c r="S236" s="147"/>
      <c r="T236" s="128">
        <f t="shared" si="249"/>
        <v>0</v>
      </c>
      <c r="U236" s="128">
        <f t="shared" si="250"/>
        <v>0</v>
      </c>
      <c r="V236" s="150">
        <f t="shared" si="251"/>
        <v>0.2044552602661641</v>
      </c>
      <c r="W236" s="150">
        <f t="shared" si="252"/>
        <v>2.2541290174366737</v>
      </c>
      <c r="X236" s="150">
        <f t="shared" si="224"/>
        <v>2.4585842777028377</v>
      </c>
    </row>
    <row r="237" spans="1:24" ht="12.75">
      <c r="A237" s="141">
        <v>220</v>
      </c>
      <c r="B237" s="142">
        <v>18</v>
      </c>
      <c r="C237" s="143">
        <f t="shared" si="207"/>
        <v>457.2</v>
      </c>
      <c r="D237" s="143">
        <v>11.13</v>
      </c>
      <c r="E237" s="144" t="s">
        <v>93</v>
      </c>
      <c r="F237" s="144">
        <f t="shared" si="223"/>
        <v>122.43841811591412</v>
      </c>
      <c r="G237" s="145">
        <f t="shared" si="239"/>
        <v>3</v>
      </c>
      <c r="H237" s="145">
        <f t="shared" si="222"/>
        <v>2</v>
      </c>
      <c r="I237" s="145">
        <f t="shared" si="240"/>
        <v>2</v>
      </c>
      <c r="J237" s="146">
        <f t="shared" si="241"/>
        <v>7.005695400247909</v>
      </c>
      <c r="K237" s="147"/>
      <c r="L237" s="145">
        <f t="shared" si="242"/>
        <v>0</v>
      </c>
      <c r="M237" s="145">
        <f t="shared" si="243"/>
        <v>9</v>
      </c>
      <c r="N237" s="145">
        <f t="shared" si="244"/>
        <v>27.39</v>
      </c>
      <c r="O237" s="145">
        <f t="shared" si="245"/>
        <v>63.96199900426341</v>
      </c>
      <c r="P237" s="145">
        <f t="shared" si="246"/>
        <v>0</v>
      </c>
      <c r="Q237" s="145">
        <f t="shared" si="247"/>
        <v>44.022781600991635</v>
      </c>
      <c r="R237" s="147">
        <f t="shared" si="248"/>
        <v>135.37478060525504</v>
      </c>
      <c r="S237" s="147"/>
      <c r="T237" s="128">
        <f t="shared" si="249"/>
        <v>0</v>
      </c>
      <c r="U237" s="128">
        <f t="shared" si="250"/>
        <v>0</v>
      </c>
      <c r="V237" s="150">
        <f t="shared" si="251"/>
        <v>0.2029672468692867</v>
      </c>
      <c r="W237" s="150">
        <f t="shared" si="252"/>
        <v>2.899623042643301</v>
      </c>
      <c r="X237" s="150">
        <f t="shared" si="224"/>
        <v>3.1025902895125874</v>
      </c>
    </row>
    <row r="238" spans="1:24" ht="12.75">
      <c r="A238" s="141">
        <v>221</v>
      </c>
      <c r="B238" s="142">
        <v>18</v>
      </c>
      <c r="C238" s="143">
        <f t="shared" si="207"/>
        <v>457.2</v>
      </c>
      <c r="D238" s="143">
        <v>12.7</v>
      </c>
      <c r="E238" s="144" t="s">
        <v>82</v>
      </c>
      <c r="F238" s="144">
        <f t="shared" si="223"/>
        <v>139.2178798820375</v>
      </c>
      <c r="G238" s="145">
        <f t="shared" si="239"/>
        <v>3</v>
      </c>
      <c r="H238" s="145">
        <f t="shared" si="222"/>
        <v>2</v>
      </c>
      <c r="I238" s="145">
        <f t="shared" si="240"/>
        <v>2</v>
      </c>
      <c r="J238" s="146">
        <f t="shared" si="241"/>
        <v>8.210398771374875</v>
      </c>
      <c r="K238" s="147"/>
      <c r="L238" s="145">
        <f t="shared" si="242"/>
        <v>0</v>
      </c>
      <c r="M238" s="145">
        <f t="shared" si="243"/>
        <v>9</v>
      </c>
      <c r="N238" s="145">
        <f t="shared" si="244"/>
        <v>32.099999999999994</v>
      </c>
      <c r="O238" s="145">
        <f t="shared" si="245"/>
        <v>87.85126685371115</v>
      </c>
      <c r="P238" s="145">
        <f t="shared" si="246"/>
        <v>0</v>
      </c>
      <c r="Q238" s="145">
        <f t="shared" si="247"/>
        <v>48.8415950854995</v>
      </c>
      <c r="R238" s="147">
        <f t="shared" si="248"/>
        <v>168.79286193921064</v>
      </c>
      <c r="S238" s="147"/>
      <c r="T238" s="128">
        <f t="shared" si="249"/>
        <v>0</v>
      </c>
      <c r="U238" s="128">
        <f t="shared" si="250"/>
        <v>0</v>
      </c>
      <c r="V238" s="150">
        <f t="shared" si="251"/>
        <v>0.20151530091956796</v>
      </c>
      <c r="W238" s="150">
        <f t="shared" si="252"/>
        <v>3.6091284305318942</v>
      </c>
      <c r="X238" s="150">
        <f t="shared" si="224"/>
        <v>3.8106437314514623</v>
      </c>
    </row>
    <row r="239" spans="1:24" ht="12.75">
      <c r="A239" s="141">
        <v>222</v>
      </c>
      <c r="B239" s="142">
        <v>18</v>
      </c>
      <c r="C239" s="143">
        <f t="shared" si="207"/>
        <v>457.2</v>
      </c>
      <c r="D239" s="143">
        <v>14.27</v>
      </c>
      <c r="E239" s="144" t="s">
        <v>87</v>
      </c>
      <c r="F239" s="144">
        <f t="shared" si="223"/>
        <v>155.8757653739711</v>
      </c>
      <c r="G239" s="145">
        <f t="shared" si="239"/>
        <v>3</v>
      </c>
      <c r="H239" s="145">
        <f t="shared" si="222"/>
        <v>2</v>
      </c>
      <c r="I239" s="145">
        <f t="shared" si="240"/>
        <v>2</v>
      </c>
      <c r="J239" s="146">
        <f t="shared" si="241"/>
        <v>9.415102142501844</v>
      </c>
      <c r="K239" s="147"/>
      <c r="L239" s="145">
        <f t="shared" si="242"/>
        <v>0</v>
      </c>
      <c r="M239" s="145">
        <f t="shared" si="243"/>
        <v>9</v>
      </c>
      <c r="N239" s="145">
        <f t="shared" si="244"/>
        <v>36.81</v>
      </c>
      <c r="O239" s="145">
        <f t="shared" si="245"/>
        <v>115.52330328849763</v>
      </c>
      <c r="P239" s="145">
        <f t="shared" si="246"/>
        <v>0</v>
      </c>
      <c r="Q239" s="145">
        <f t="shared" si="247"/>
        <v>53.66040857000738</v>
      </c>
      <c r="R239" s="147">
        <f t="shared" si="248"/>
        <v>205.993711858505</v>
      </c>
      <c r="S239" s="147"/>
      <c r="T239" s="128">
        <f t="shared" si="249"/>
        <v>0</v>
      </c>
      <c r="U239" s="128">
        <f t="shared" si="250"/>
        <v>0</v>
      </c>
      <c r="V239" s="150">
        <f t="shared" si="251"/>
        <v>0.2000633549698492</v>
      </c>
      <c r="W239" s="150">
        <f t="shared" si="252"/>
        <v>4.3968878648713385</v>
      </c>
      <c r="X239" s="150">
        <f t="shared" si="224"/>
        <v>4.596951219841188</v>
      </c>
    </row>
    <row r="240" spans="1:24" ht="12.75">
      <c r="A240" s="141">
        <v>223</v>
      </c>
      <c r="B240" s="142">
        <v>18</v>
      </c>
      <c r="C240" s="143">
        <f t="shared" si="207"/>
        <v>457.2</v>
      </c>
      <c r="D240" s="143">
        <v>19.05</v>
      </c>
      <c r="E240" s="144" t="s">
        <v>94</v>
      </c>
      <c r="F240" s="144">
        <f t="shared" si="223"/>
        <v>205.84357953986972</v>
      </c>
      <c r="G240" s="145">
        <f t="shared" si="239"/>
        <v>3</v>
      </c>
      <c r="H240" s="145">
        <f t="shared" si="222"/>
        <v>2</v>
      </c>
      <c r="I240" s="145">
        <f t="shared" si="240"/>
        <v>3</v>
      </c>
      <c r="J240" s="146">
        <f t="shared" si="241"/>
        <v>13.044558795642326</v>
      </c>
      <c r="K240" s="147"/>
      <c r="L240" s="145">
        <f t="shared" si="242"/>
        <v>0.008816349035423374</v>
      </c>
      <c r="M240" s="145">
        <f t="shared" si="243"/>
        <v>9</v>
      </c>
      <c r="N240" s="145">
        <f t="shared" si="244"/>
        <v>51.150000000000006</v>
      </c>
      <c r="O240" s="145">
        <f t="shared" si="245"/>
        <v>221.75749952591954</v>
      </c>
      <c r="P240" s="145">
        <f t="shared" si="246"/>
        <v>1.3048966970160223</v>
      </c>
      <c r="Q240" s="145">
        <f t="shared" si="247"/>
        <v>102.32025086806651</v>
      </c>
      <c r="R240" s="147">
        <f t="shared" si="248"/>
        <v>376.5326470910021</v>
      </c>
      <c r="S240" s="147"/>
      <c r="T240" s="128">
        <f t="shared" si="249"/>
        <v>0</v>
      </c>
      <c r="U240" s="128">
        <f t="shared" si="250"/>
        <v>0</v>
      </c>
      <c r="V240" s="150">
        <f t="shared" si="251"/>
        <v>0.19564278067707477</v>
      </c>
      <c r="W240" s="150">
        <f t="shared" si="252"/>
        <v>7.994322524928275</v>
      </c>
      <c r="X240" s="150">
        <f t="shared" si="224"/>
        <v>8.18996530560535</v>
      </c>
    </row>
    <row r="241" spans="1:24" ht="12.75">
      <c r="A241" s="141">
        <v>224</v>
      </c>
      <c r="B241" s="142">
        <v>18</v>
      </c>
      <c r="C241" s="143">
        <f t="shared" si="207"/>
        <v>457.2</v>
      </c>
      <c r="D241" s="143">
        <v>23.82</v>
      </c>
      <c r="E241" s="144" t="s">
        <v>89</v>
      </c>
      <c r="F241" s="144">
        <f t="shared" si="223"/>
        <v>254.58344078326846</v>
      </c>
      <c r="G241" s="145">
        <f t="shared" si="239"/>
        <v>3</v>
      </c>
      <c r="H241" s="145">
        <f t="shared" si="222"/>
        <v>2</v>
      </c>
      <c r="I241" s="145">
        <f t="shared" si="240"/>
        <v>3</v>
      </c>
      <c r="J241" s="146">
        <f t="shared" si="241"/>
        <v>13.044558795642326</v>
      </c>
      <c r="K241" s="147"/>
      <c r="L241" s="145">
        <f t="shared" si="242"/>
        <v>0.8498960470148013</v>
      </c>
      <c r="M241" s="145">
        <f t="shared" si="243"/>
        <v>9</v>
      </c>
      <c r="N241" s="145">
        <f t="shared" si="244"/>
        <v>65.46000000000001</v>
      </c>
      <c r="O241" s="145">
        <f t="shared" si="245"/>
        <v>221.75749952591954</v>
      </c>
      <c r="P241" s="145">
        <f t="shared" si="246"/>
        <v>129.84604573660337</v>
      </c>
      <c r="Q241" s="145">
        <f t="shared" si="247"/>
        <v>107.36672905594276</v>
      </c>
      <c r="R241" s="147">
        <f t="shared" si="248"/>
        <v>524.4302743184656</v>
      </c>
      <c r="S241" s="147"/>
      <c r="T241" s="128">
        <f t="shared" si="249"/>
        <v>0</v>
      </c>
      <c r="U241" s="128">
        <f t="shared" si="250"/>
        <v>0</v>
      </c>
      <c r="V241" s="150">
        <f t="shared" si="251"/>
        <v>0.19123145444767442</v>
      </c>
      <c r="W241" s="150">
        <f t="shared" si="252"/>
        <v>11.075080272223538</v>
      </c>
      <c r="X241" s="150">
        <f t="shared" si="224"/>
        <v>11.266311726671212</v>
      </c>
    </row>
    <row r="242" spans="1:24" ht="12.75">
      <c r="A242" s="141">
        <v>225</v>
      </c>
      <c r="B242" s="142">
        <v>18</v>
      </c>
      <c r="C242" s="143">
        <f t="shared" si="207"/>
        <v>457.2</v>
      </c>
      <c r="D242" s="143">
        <v>29.36</v>
      </c>
      <c r="E242" s="144" t="s">
        <v>95</v>
      </c>
      <c r="F242" s="144">
        <f t="shared" si="223"/>
        <v>309.78256133416113</v>
      </c>
      <c r="G242" s="145">
        <f t="shared" si="239"/>
        <v>3</v>
      </c>
      <c r="H242" s="145">
        <f t="shared" si="222"/>
        <v>2</v>
      </c>
      <c r="I242" s="145">
        <f t="shared" si="240"/>
        <v>3</v>
      </c>
      <c r="J242" s="146">
        <f t="shared" si="241"/>
        <v>13.044558795642326</v>
      </c>
      <c r="K242" s="147"/>
      <c r="L242" s="145">
        <f t="shared" si="242"/>
        <v>1.826747520139697</v>
      </c>
      <c r="M242" s="145">
        <f t="shared" si="243"/>
        <v>9</v>
      </c>
      <c r="N242" s="145">
        <f t="shared" si="244"/>
        <v>82.08</v>
      </c>
      <c r="O242" s="145">
        <f t="shared" si="245"/>
        <v>221.75749952591954</v>
      </c>
      <c r="P242" s="145">
        <f t="shared" si="246"/>
        <v>289.2083625543562</v>
      </c>
      <c r="Q242" s="145">
        <f t="shared" si="247"/>
        <v>113.22783789469213</v>
      </c>
      <c r="R242" s="147">
        <f t="shared" si="248"/>
        <v>706.2736999749679</v>
      </c>
      <c r="S242" s="147"/>
      <c r="T242" s="128">
        <f t="shared" si="249"/>
        <v>0</v>
      </c>
      <c r="U242" s="128">
        <f t="shared" si="250"/>
        <v>0</v>
      </c>
      <c r="V242" s="150">
        <f t="shared" si="251"/>
        <v>0.18610802733847573</v>
      </c>
      <c r="W242" s="150">
        <f t="shared" si="252"/>
        <v>14.822522693824016</v>
      </c>
      <c r="X242" s="150">
        <f t="shared" si="224"/>
        <v>15.008630721162492</v>
      </c>
    </row>
    <row r="243" spans="1:24" ht="12.75">
      <c r="A243" s="141">
        <v>226</v>
      </c>
      <c r="B243" s="142">
        <v>18</v>
      </c>
      <c r="C243" s="143">
        <f t="shared" si="207"/>
        <v>457.2</v>
      </c>
      <c r="D243" s="143">
        <v>34.92</v>
      </c>
      <c r="E243" s="144" t="s">
        <v>91</v>
      </c>
      <c r="F243" s="144">
        <f t="shared" si="223"/>
        <v>363.6589474106464</v>
      </c>
      <c r="G243" s="145">
        <f t="shared" si="239"/>
        <v>3</v>
      </c>
      <c r="H243" s="145">
        <f t="shared" si="222"/>
        <v>2</v>
      </c>
      <c r="I243" s="145">
        <f t="shared" si="240"/>
        <v>3</v>
      </c>
      <c r="J243" s="146">
        <f t="shared" si="241"/>
        <v>13.044558795642326</v>
      </c>
      <c r="K243" s="147"/>
      <c r="L243" s="145">
        <f t="shared" si="242"/>
        <v>2.8071255328787625</v>
      </c>
      <c r="M243" s="145">
        <f t="shared" si="243"/>
        <v>9</v>
      </c>
      <c r="N243" s="145">
        <f t="shared" si="244"/>
        <v>98.76</v>
      </c>
      <c r="O243" s="145">
        <f t="shared" si="245"/>
        <v>221.75749952591954</v>
      </c>
      <c r="P243" s="145">
        <f t="shared" si="246"/>
        <v>460.0281905366816</v>
      </c>
      <c r="Q243" s="145">
        <f t="shared" si="247"/>
        <v>119.11010597112653</v>
      </c>
      <c r="R243" s="147">
        <f t="shared" si="248"/>
        <v>899.6557960337277</v>
      </c>
      <c r="S243" s="147"/>
      <c r="T243" s="128">
        <f t="shared" si="249"/>
        <v>0</v>
      </c>
      <c r="U243" s="128">
        <f t="shared" si="250"/>
        <v>0</v>
      </c>
      <c r="V243" s="150">
        <f t="shared" si="251"/>
        <v>0.18096610410252892</v>
      </c>
      <c r="W243" s="150">
        <f t="shared" si="252"/>
        <v>18.762406461910018</v>
      </c>
      <c r="X243" s="150">
        <f t="shared" si="224"/>
        <v>18.943372566012545</v>
      </c>
    </row>
    <row r="244" spans="1:24" ht="12.75">
      <c r="A244" s="141">
        <v>227</v>
      </c>
      <c r="B244" s="142">
        <v>18</v>
      </c>
      <c r="C244" s="143">
        <f t="shared" si="207"/>
        <v>457.2</v>
      </c>
      <c r="D244" s="143">
        <v>39.69</v>
      </c>
      <c r="E244" s="144" t="s">
        <v>96</v>
      </c>
      <c r="F244" s="144">
        <f t="shared" si="223"/>
        <v>408.66506213348066</v>
      </c>
      <c r="G244" s="145">
        <f t="shared" si="239"/>
        <v>3</v>
      </c>
      <c r="H244" s="145">
        <f t="shared" si="222"/>
        <v>2</v>
      </c>
      <c r="I244" s="145">
        <f t="shared" si="240"/>
        <v>3</v>
      </c>
      <c r="J244" s="146">
        <f t="shared" si="241"/>
        <v>13.044558795642326</v>
      </c>
      <c r="K244" s="147"/>
      <c r="L244" s="145">
        <f t="shared" si="242"/>
        <v>3.64820523085814</v>
      </c>
      <c r="M244" s="145">
        <f t="shared" si="243"/>
        <v>9</v>
      </c>
      <c r="N244" s="145">
        <f t="shared" si="244"/>
        <v>113.07</v>
      </c>
      <c r="O244" s="145">
        <f t="shared" si="245"/>
        <v>221.75749952591954</v>
      </c>
      <c r="P244" s="145">
        <f t="shared" si="246"/>
        <v>615.2652091901343</v>
      </c>
      <c r="Q244" s="145">
        <f t="shared" si="247"/>
        <v>124.15658415900279</v>
      </c>
      <c r="R244" s="147">
        <f t="shared" si="248"/>
        <v>1074.2492928750567</v>
      </c>
      <c r="S244" s="147"/>
      <c r="T244" s="128">
        <f t="shared" si="249"/>
        <v>0</v>
      </c>
      <c r="U244" s="128">
        <f t="shared" si="250"/>
        <v>0</v>
      </c>
      <c r="V244" s="150">
        <f t="shared" si="251"/>
        <v>0.17655477787312857</v>
      </c>
      <c r="W244" s="150">
        <f t="shared" si="252"/>
        <v>22.282060966880433</v>
      </c>
      <c r="X244" s="150">
        <f t="shared" si="224"/>
        <v>22.458615744753562</v>
      </c>
    </row>
    <row r="245" spans="1:24" ht="12.75">
      <c r="A245" s="141">
        <v>228</v>
      </c>
      <c r="B245" s="142">
        <v>18</v>
      </c>
      <c r="C245" s="143">
        <f t="shared" si="207"/>
        <v>457.2</v>
      </c>
      <c r="D245" s="143">
        <v>45.24</v>
      </c>
      <c r="E245" s="144" t="s">
        <v>90</v>
      </c>
      <c r="F245" s="144">
        <f t="shared" si="223"/>
        <v>459.61815510664496</v>
      </c>
      <c r="G245" s="145">
        <f t="shared" si="239"/>
        <v>3</v>
      </c>
      <c r="H245" s="145">
        <f t="shared" si="222"/>
        <v>2</v>
      </c>
      <c r="I245" s="145">
        <f t="shared" si="240"/>
        <v>3</v>
      </c>
      <c r="J245" s="146">
        <f t="shared" si="241"/>
        <v>13.044558795642326</v>
      </c>
      <c r="K245" s="147"/>
      <c r="L245" s="145">
        <f t="shared" si="242"/>
        <v>4.626819973790122</v>
      </c>
      <c r="M245" s="145">
        <f t="shared" si="243"/>
        <v>9</v>
      </c>
      <c r="N245" s="145">
        <f t="shared" si="244"/>
        <v>129.72</v>
      </c>
      <c r="O245" s="145">
        <f t="shared" si="245"/>
        <v>221.75749952591954</v>
      </c>
      <c r="P245" s="145">
        <f t="shared" si="246"/>
        <v>805.986201707562</v>
      </c>
      <c r="Q245" s="145">
        <f t="shared" si="247"/>
        <v>130.02827261659468</v>
      </c>
      <c r="R245" s="147">
        <f t="shared" si="248"/>
        <v>1287.4919738500762</v>
      </c>
      <c r="S245" s="147"/>
      <c r="T245" s="128">
        <f t="shared" si="249"/>
        <v>0</v>
      </c>
      <c r="U245" s="128">
        <f t="shared" si="250"/>
        <v>0</v>
      </c>
      <c r="V245" s="150">
        <f t="shared" si="251"/>
        <v>0.1714221027005558</v>
      </c>
      <c r="W245" s="150">
        <f t="shared" si="252"/>
        <v>26.535694081281804</v>
      </c>
      <c r="X245" s="150">
        <f t="shared" si="224"/>
        <v>26.70711618398236</v>
      </c>
    </row>
    <row r="246" spans="1:24" ht="12.75">
      <c r="A246" s="141">
        <v>229</v>
      </c>
      <c r="B246" s="142"/>
      <c r="C246" s="143"/>
      <c r="D246" s="143"/>
      <c r="E246" s="144"/>
      <c r="F246" s="144">
        <f t="shared" si="223"/>
        <v>0</v>
      </c>
      <c r="G246" s="145"/>
      <c r="H246" s="145">
        <f t="shared" si="222"/>
        <v>0</v>
      </c>
      <c r="I246" s="145"/>
      <c r="J246" s="146"/>
      <c r="K246" s="147"/>
      <c r="L246" s="145"/>
      <c r="M246" s="145"/>
      <c r="N246" s="145"/>
      <c r="O246" s="145"/>
      <c r="P246" s="145"/>
      <c r="Q246" s="145"/>
      <c r="R246" s="147"/>
      <c r="S246" s="147"/>
      <c r="T246" s="128"/>
      <c r="U246" s="128"/>
      <c r="V246" s="150"/>
      <c r="W246" s="150"/>
      <c r="X246" s="150">
        <f t="shared" si="224"/>
        <v>0</v>
      </c>
    </row>
    <row r="247" spans="1:24" ht="12.75">
      <c r="A247" s="141">
        <v>230</v>
      </c>
      <c r="B247" s="142">
        <v>20</v>
      </c>
      <c r="C247" s="143">
        <f t="shared" si="207"/>
        <v>508</v>
      </c>
      <c r="D247" s="143">
        <v>4.78</v>
      </c>
      <c r="E247" s="144" t="s">
        <v>81</v>
      </c>
      <c r="F247" s="144">
        <f t="shared" si="223"/>
        <v>59.3205705495978</v>
      </c>
      <c r="G247" s="145">
        <f t="shared" si="1"/>
        <v>3</v>
      </c>
      <c r="H247" s="145">
        <f t="shared" si="222"/>
        <v>2</v>
      </c>
      <c r="I247" s="145">
        <f>IF(D247&lt;=19,2,3)</f>
        <v>2</v>
      </c>
      <c r="J247" s="146">
        <f>IF(D247&lt;=19,(D247-H247)*TAN($C$8*PI()/180),(19-H247)*TAN($C$8*PI()/180))</f>
        <v>2.13316902658151</v>
      </c>
      <c r="K247" s="147"/>
      <c r="L247" s="145">
        <f>IF(D247&lt;=19,0,(D247-19)*TAN($C$10*PI()/180))</f>
        <v>0</v>
      </c>
      <c r="M247" s="145">
        <f>+G247*(H247*1.5)</f>
        <v>9</v>
      </c>
      <c r="N247" s="145">
        <f>+G247*(D247-H247)</f>
        <v>8.34</v>
      </c>
      <c r="O247" s="145">
        <f>IF(D247&lt;=19,(D247-H247)*J247,(19-H247)*J247)</f>
        <v>5.930209893896598</v>
      </c>
      <c r="P247" s="145">
        <f>IF(D247&lt;=19,0,(J247*(D247-19)*2)+((L247)*(D247-19)))</f>
        <v>0</v>
      </c>
      <c r="Q247" s="145">
        <f>+(5+G247+(2*(J247+L247)))*I247</f>
        <v>24.53267610632604</v>
      </c>
      <c r="R247" s="147">
        <f>SUM(N247:Q247)</f>
        <v>38.80288600022264</v>
      </c>
      <c r="S247" s="147"/>
      <c r="T247" s="128">
        <f>IF(D$6=1,(PI()*(C247-(2*D247)+(2*H247))*M247*0.1*0.01*7.85*0.001/(T$16*T$17)),0)</f>
        <v>0</v>
      </c>
      <c r="U247" s="128">
        <f>IF(D$6=1,(PI()*(C247-(0.5*D247))*(R247)*0.1*0.01*7.85*0.001/(U$16*U$17)),0)</f>
        <v>0</v>
      </c>
      <c r="V247" s="150">
        <f>IF(D$6=1,0,(PI()*(C247-(2*D247)+(2*H247))*M247*0.1*0.01*7.85*0.001/(V$16*V$17)))</f>
        <v>0.23232984808175247</v>
      </c>
      <c r="W247" s="150">
        <f>IF(D$6=1,0,(PI()*(C247-(0.5*D247))*(R247)*0.1*0.01*7.85*0.001/(W$16*W$17)))</f>
        <v>0.9304560594927123</v>
      </c>
      <c r="X247" s="150">
        <f t="shared" si="224"/>
        <v>1.1627859075744646</v>
      </c>
    </row>
    <row r="248" spans="1:24" ht="12.75">
      <c r="A248" s="141">
        <v>231</v>
      </c>
      <c r="B248" s="142">
        <v>20</v>
      </c>
      <c r="C248" s="143">
        <f t="shared" si="207"/>
        <v>508</v>
      </c>
      <c r="D248" s="143">
        <v>5.54</v>
      </c>
      <c r="E248" s="144" t="s">
        <v>84</v>
      </c>
      <c r="F248" s="144">
        <f t="shared" si="223"/>
        <v>68.64845827434668</v>
      </c>
      <c r="G248" s="145">
        <f aca="true" t="shared" si="253" ref="G248:G260">IF($D$6=1,2,3)</f>
        <v>3</v>
      </c>
      <c r="H248" s="145">
        <f t="shared" si="222"/>
        <v>2</v>
      </c>
      <c r="I248" s="145">
        <f aca="true" t="shared" si="254" ref="I248:I260">IF(D248&lt;=19,2,3)</f>
        <v>2</v>
      </c>
      <c r="J248" s="146">
        <f aca="true" t="shared" si="255" ref="J248:J260">IF(D248&lt;=19,(D248-H248)*TAN($C$8*PI()/180),(19-H248)*TAN($C$8*PI()/180))</f>
        <v>2.71633753744552</v>
      </c>
      <c r="K248" s="147"/>
      <c r="L248" s="145">
        <f aca="true" t="shared" si="256" ref="L248:L260">IF(D248&lt;=19,0,(D248-19)*TAN($C$10*PI()/180))</f>
        <v>0</v>
      </c>
      <c r="M248" s="145">
        <f aca="true" t="shared" si="257" ref="M248:M260">+G248*(H248*1.5)</f>
        <v>9</v>
      </c>
      <c r="N248" s="145">
        <f aca="true" t="shared" si="258" ref="N248:N260">+G248*(D248-H248)</f>
        <v>10.620000000000001</v>
      </c>
      <c r="O248" s="145">
        <f aca="true" t="shared" si="259" ref="O248:O260">IF(D248&lt;=19,(D248-H248)*J248,(19-H248)*J248)</f>
        <v>9.61583488255714</v>
      </c>
      <c r="P248" s="145">
        <f aca="true" t="shared" si="260" ref="P248:P260">IF(D248&lt;=19,0,(J248*(D248-19)*2)+((L248)*(D248-19)))</f>
        <v>0</v>
      </c>
      <c r="Q248" s="145">
        <f aca="true" t="shared" si="261" ref="Q248:Q260">+(5+G248+(2*(J248+L248)))*I248</f>
        <v>26.86535014978208</v>
      </c>
      <c r="R248" s="147">
        <f aca="true" t="shared" si="262" ref="R248:R260">SUM(N248:Q248)</f>
        <v>47.101185032339224</v>
      </c>
      <c r="S248" s="147"/>
      <c r="T248" s="128">
        <f aca="true" t="shared" si="263" ref="T248:T260">IF(D$6=1,(PI()*(C248-(2*D248)+(2*H248))*M248*0.1*0.01*7.85*0.001/(T$16*T$17)),0)</f>
        <v>0</v>
      </c>
      <c r="U248" s="128">
        <f aca="true" t="shared" si="264" ref="U248:U260">IF(D$6=1,(PI()*(C248-(0.5*D248))*(R248)*0.1*0.01*7.85*0.001/(U$16*U$17)),0)</f>
        <v>0</v>
      </c>
      <c r="V248" s="150">
        <f aca="true" t="shared" si="265" ref="V248:V260">IF(D$6=1,0,(PI()*(C248-(2*D248)+(2*H248))*M248*0.1*0.01*7.85*0.001/(V$16*V$17)))</f>
        <v>0.23162699526532812</v>
      </c>
      <c r="W248" s="150">
        <f aca="true" t="shared" si="266" ref="W248:W260">IF(D$6=1,0,(PI()*(C248-(0.5*D248))*(R248)*0.1*0.01*7.85*0.001/(W$16*W$17)))</f>
        <v>1.1285924748559562</v>
      </c>
      <c r="X248" s="150">
        <f t="shared" si="224"/>
        <v>1.3602194701212842</v>
      </c>
    </row>
    <row r="249" spans="1:24" ht="12.75">
      <c r="A249" s="141">
        <v>232</v>
      </c>
      <c r="B249" s="142">
        <v>20</v>
      </c>
      <c r="C249" s="143">
        <f t="shared" si="207"/>
        <v>508</v>
      </c>
      <c r="D249" s="143">
        <v>6.35</v>
      </c>
      <c r="E249" s="144" t="s">
        <v>97</v>
      </c>
      <c r="F249" s="144">
        <f t="shared" si="223"/>
        <v>78.55866079057829</v>
      </c>
      <c r="G249" s="145">
        <f t="shared" si="253"/>
        <v>3</v>
      </c>
      <c r="H249" s="145">
        <f t="shared" si="222"/>
        <v>2</v>
      </c>
      <c r="I249" s="145">
        <f t="shared" si="254"/>
        <v>2</v>
      </c>
      <c r="J249" s="146">
        <f t="shared" si="255"/>
        <v>3.337872397708477</v>
      </c>
      <c r="K249" s="147"/>
      <c r="L249" s="145">
        <f t="shared" si="256"/>
        <v>0</v>
      </c>
      <c r="M249" s="145">
        <f t="shared" si="257"/>
        <v>9</v>
      </c>
      <c r="N249" s="145">
        <f t="shared" si="258"/>
        <v>13.049999999999999</v>
      </c>
      <c r="O249" s="145">
        <f t="shared" si="259"/>
        <v>14.519744930031875</v>
      </c>
      <c r="P249" s="145">
        <f t="shared" si="260"/>
        <v>0</v>
      </c>
      <c r="Q249" s="145">
        <f t="shared" si="261"/>
        <v>29.351489590833907</v>
      </c>
      <c r="R249" s="147">
        <f t="shared" si="262"/>
        <v>56.92123452086578</v>
      </c>
      <c r="S249" s="147"/>
      <c r="T249" s="128">
        <f t="shared" si="263"/>
        <v>0</v>
      </c>
      <c r="U249" s="128">
        <f t="shared" si="264"/>
        <v>0</v>
      </c>
      <c r="V249" s="150">
        <f t="shared" si="265"/>
        <v>0.23087790213203369</v>
      </c>
      <c r="W249" s="150">
        <f t="shared" si="266"/>
        <v>1.3627975694945116</v>
      </c>
      <c r="X249" s="150">
        <f t="shared" si="224"/>
        <v>1.5936754716265453</v>
      </c>
    </row>
    <row r="250" spans="1:24" ht="12.75">
      <c r="A250" s="141">
        <v>233</v>
      </c>
      <c r="B250" s="142">
        <v>20</v>
      </c>
      <c r="C250" s="143">
        <f t="shared" si="207"/>
        <v>508</v>
      </c>
      <c r="D250" s="143">
        <v>9.52</v>
      </c>
      <c r="E250" s="144" t="s">
        <v>92</v>
      </c>
      <c r="F250" s="144">
        <f t="shared" si="223"/>
        <v>117.03188929071032</v>
      </c>
      <c r="G250" s="145">
        <f t="shared" si="253"/>
        <v>3</v>
      </c>
      <c r="H250" s="145">
        <f t="shared" si="222"/>
        <v>2</v>
      </c>
      <c r="I250" s="145">
        <f t="shared" si="254"/>
        <v>2</v>
      </c>
      <c r="J250" s="146">
        <f t="shared" si="255"/>
        <v>5.770298949601782</v>
      </c>
      <c r="K250" s="147"/>
      <c r="L250" s="145">
        <f t="shared" si="256"/>
        <v>0</v>
      </c>
      <c r="M250" s="145">
        <f t="shared" si="257"/>
        <v>9</v>
      </c>
      <c r="N250" s="145">
        <f t="shared" si="258"/>
        <v>22.56</v>
      </c>
      <c r="O250" s="145">
        <f t="shared" si="259"/>
        <v>43.39264810100539</v>
      </c>
      <c r="P250" s="145">
        <f t="shared" si="260"/>
        <v>0</v>
      </c>
      <c r="Q250" s="145">
        <f t="shared" si="261"/>
        <v>39.08119579840712</v>
      </c>
      <c r="R250" s="147">
        <f t="shared" si="262"/>
        <v>105.03384389941252</v>
      </c>
      <c r="S250" s="147"/>
      <c r="T250" s="128">
        <f t="shared" si="263"/>
        <v>0</v>
      </c>
      <c r="U250" s="128">
        <f t="shared" si="264"/>
        <v>0</v>
      </c>
      <c r="V250" s="150">
        <f t="shared" si="265"/>
        <v>0.2279462660424741</v>
      </c>
      <c r="W250" s="150">
        <f t="shared" si="266"/>
        <v>2.5068052699881944</v>
      </c>
      <c r="X250" s="150">
        <f t="shared" si="224"/>
        <v>2.7347515360306685</v>
      </c>
    </row>
    <row r="251" spans="1:24" ht="12.75">
      <c r="A251" s="141">
        <v>234</v>
      </c>
      <c r="B251" s="142">
        <v>20</v>
      </c>
      <c r="C251" s="143">
        <f t="shared" si="207"/>
        <v>508</v>
      </c>
      <c r="D251" s="143">
        <v>9.52</v>
      </c>
      <c r="E251" s="144" t="s">
        <v>86</v>
      </c>
      <c r="F251" s="144">
        <f t="shared" si="223"/>
        <v>117.03188929071032</v>
      </c>
      <c r="G251" s="145">
        <f t="shared" si="253"/>
        <v>3</v>
      </c>
      <c r="H251" s="145">
        <f t="shared" si="222"/>
        <v>2</v>
      </c>
      <c r="I251" s="145">
        <f t="shared" si="254"/>
        <v>2</v>
      </c>
      <c r="J251" s="146">
        <f t="shared" si="255"/>
        <v>5.770298949601782</v>
      </c>
      <c r="K251" s="147"/>
      <c r="L251" s="145">
        <f t="shared" si="256"/>
        <v>0</v>
      </c>
      <c r="M251" s="145">
        <f t="shared" si="257"/>
        <v>9</v>
      </c>
      <c r="N251" s="145">
        <f t="shared" si="258"/>
        <v>22.56</v>
      </c>
      <c r="O251" s="145">
        <f t="shared" si="259"/>
        <v>43.39264810100539</v>
      </c>
      <c r="P251" s="145">
        <f t="shared" si="260"/>
        <v>0</v>
      </c>
      <c r="Q251" s="145">
        <f t="shared" si="261"/>
        <v>39.08119579840712</v>
      </c>
      <c r="R251" s="147">
        <f t="shared" si="262"/>
        <v>105.03384389941252</v>
      </c>
      <c r="S251" s="147"/>
      <c r="T251" s="128">
        <f t="shared" si="263"/>
        <v>0</v>
      </c>
      <c r="U251" s="128">
        <f t="shared" si="264"/>
        <v>0</v>
      </c>
      <c r="V251" s="150">
        <f t="shared" si="265"/>
        <v>0.2279462660424741</v>
      </c>
      <c r="W251" s="150">
        <f t="shared" si="266"/>
        <v>2.5068052699881944</v>
      </c>
      <c r="X251" s="150">
        <f t="shared" si="224"/>
        <v>2.7347515360306685</v>
      </c>
    </row>
    <row r="252" spans="1:24" ht="12.75">
      <c r="A252" s="141">
        <v>235</v>
      </c>
      <c r="B252" s="142">
        <v>20</v>
      </c>
      <c r="C252" s="143">
        <f t="shared" si="207"/>
        <v>508</v>
      </c>
      <c r="D252" s="143">
        <v>12.7</v>
      </c>
      <c r="E252" s="144" t="s">
        <v>93</v>
      </c>
      <c r="F252" s="144">
        <f t="shared" si="223"/>
        <v>155.1284947256989</v>
      </c>
      <c r="G252" s="145">
        <f t="shared" si="253"/>
        <v>3</v>
      </c>
      <c r="H252" s="145">
        <f t="shared" si="222"/>
        <v>2</v>
      </c>
      <c r="I252" s="145">
        <f t="shared" si="254"/>
        <v>2</v>
      </c>
      <c r="J252" s="146">
        <f t="shared" si="255"/>
        <v>8.210398771374875</v>
      </c>
      <c r="K252" s="147"/>
      <c r="L252" s="145">
        <f t="shared" si="256"/>
        <v>0</v>
      </c>
      <c r="M252" s="145">
        <f t="shared" si="257"/>
        <v>9</v>
      </c>
      <c r="N252" s="145">
        <f t="shared" si="258"/>
        <v>32.099999999999994</v>
      </c>
      <c r="O252" s="145">
        <f t="shared" si="259"/>
        <v>87.85126685371115</v>
      </c>
      <c r="P252" s="145">
        <f t="shared" si="260"/>
        <v>0</v>
      </c>
      <c r="Q252" s="145">
        <f t="shared" si="261"/>
        <v>48.8415950854995</v>
      </c>
      <c r="R252" s="147">
        <f t="shared" si="262"/>
        <v>168.79286193921064</v>
      </c>
      <c r="S252" s="147"/>
      <c r="T252" s="128">
        <f t="shared" si="263"/>
        <v>0</v>
      </c>
      <c r="U252" s="128">
        <f t="shared" si="264"/>
        <v>0</v>
      </c>
      <c r="V252" s="150">
        <f t="shared" si="265"/>
        <v>0.22500538188954053</v>
      </c>
      <c r="W252" s="150">
        <f t="shared" si="266"/>
        <v>4.015790788901685</v>
      </c>
      <c r="X252" s="150">
        <f t="shared" si="224"/>
        <v>4.240796170791226</v>
      </c>
    </row>
    <row r="253" spans="1:24" ht="12.75">
      <c r="A253" s="141">
        <v>236</v>
      </c>
      <c r="B253" s="142">
        <v>20</v>
      </c>
      <c r="C253" s="143">
        <f t="shared" si="207"/>
        <v>508</v>
      </c>
      <c r="D253" s="143">
        <v>12.7</v>
      </c>
      <c r="E253" s="144" t="s">
        <v>82</v>
      </c>
      <c r="F253" s="144">
        <f t="shared" si="223"/>
        <v>155.1284947256989</v>
      </c>
      <c r="G253" s="145">
        <f t="shared" si="253"/>
        <v>3</v>
      </c>
      <c r="H253" s="145">
        <f t="shared" si="222"/>
        <v>2</v>
      </c>
      <c r="I253" s="145">
        <f t="shared" si="254"/>
        <v>2</v>
      </c>
      <c r="J253" s="146">
        <f t="shared" si="255"/>
        <v>8.210398771374875</v>
      </c>
      <c r="K253" s="147"/>
      <c r="L253" s="145">
        <f t="shared" si="256"/>
        <v>0</v>
      </c>
      <c r="M253" s="145">
        <f t="shared" si="257"/>
        <v>9</v>
      </c>
      <c r="N253" s="145">
        <f t="shared" si="258"/>
        <v>32.099999999999994</v>
      </c>
      <c r="O253" s="145">
        <f t="shared" si="259"/>
        <v>87.85126685371115</v>
      </c>
      <c r="P253" s="145">
        <f t="shared" si="260"/>
        <v>0</v>
      </c>
      <c r="Q253" s="145">
        <f t="shared" si="261"/>
        <v>48.8415950854995</v>
      </c>
      <c r="R253" s="147">
        <f t="shared" si="262"/>
        <v>168.79286193921064</v>
      </c>
      <c r="S253" s="147"/>
      <c r="T253" s="128">
        <f t="shared" si="263"/>
        <v>0</v>
      </c>
      <c r="U253" s="128">
        <f t="shared" si="264"/>
        <v>0</v>
      </c>
      <c r="V253" s="150">
        <f t="shared" si="265"/>
        <v>0.22500538188954053</v>
      </c>
      <c r="W253" s="150">
        <f t="shared" si="266"/>
        <v>4.015790788901685</v>
      </c>
      <c r="X253" s="150">
        <f t="shared" si="224"/>
        <v>4.240796170791226</v>
      </c>
    </row>
    <row r="254" spans="1:24" ht="12.75">
      <c r="A254" s="141">
        <v>237</v>
      </c>
      <c r="B254" s="142">
        <v>20</v>
      </c>
      <c r="C254" s="143">
        <f t="shared" si="207"/>
        <v>508</v>
      </c>
      <c r="D254" s="143">
        <v>15.09</v>
      </c>
      <c r="E254" s="144" t="s">
        <v>87</v>
      </c>
      <c r="F254" s="144">
        <f t="shared" si="223"/>
        <v>183.43254780747463</v>
      </c>
      <c r="G254" s="145">
        <f t="shared" si="253"/>
        <v>3</v>
      </c>
      <c r="H254" s="145">
        <f t="shared" si="222"/>
        <v>2</v>
      </c>
      <c r="I254" s="145">
        <f t="shared" si="254"/>
        <v>2</v>
      </c>
      <c r="J254" s="146">
        <f t="shared" si="255"/>
        <v>10.04431027264459</v>
      </c>
      <c r="K254" s="147"/>
      <c r="L254" s="145">
        <f t="shared" si="256"/>
        <v>0</v>
      </c>
      <c r="M254" s="145">
        <f t="shared" si="257"/>
        <v>9</v>
      </c>
      <c r="N254" s="145">
        <f t="shared" si="258"/>
        <v>39.269999999999996</v>
      </c>
      <c r="O254" s="145">
        <f t="shared" si="259"/>
        <v>131.4800214689177</v>
      </c>
      <c r="P254" s="145">
        <f t="shared" si="260"/>
        <v>0</v>
      </c>
      <c r="Q254" s="145">
        <f t="shared" si="261"/>
        <v>56.17724109057836</v>
      </c>
      <c r="R254" s="147">
        <f t="shared" si="262"/>
        <v>226.92726255949606</v>
      </c>
      <c r="S254" s="147"/>
      <c r="T254" s="128">
        <f t="shared" si="263"/>
        <v>0</v>
      </c>
      <c r="U254" s="128">
        <f t="shared" si="264"/>
        <v>0</v>
      </c>
      <c r="V254" s="150">
        <f t="shared" si="265"/>
        <v>0.22279509474315334</v>
      </c>
      <c r="W254" s="150">
        <f t="shared" si="266"/>
        <v>5.386019142952899</v>
      </c>
      <c r="X254" s="150">
        <f t="shared" si="224"/>
        <v>5.608814237696053</v>
      </c>
    </row>
    <row r="255" spans="1:24" ht="12.75">
      <c r="A255" s="141">
        <v>238</v>
      </c>
      <c r="B255" s="142">
        <v>20</v>
      </c>
      <c r="C255" s="143">
        <f t="shared" si="207"/>
        <v>508</v>
      </c>
      <c r="D255" s="143">
        <v>20.62</v>
      </c>
      <c r="E255" s="144" t="s">
        <v>94</v>
      </c>
      <c r="F255" s="144">
        <f t="shared" si="223"/>
        <v>247.84256438220973</v>
      </c>
      <c r="G255" s="145">
        <f t="shared" si="253"/>
        <v>3</v>
      </c>
      <c r="H255" s="145">
        <f t="shared" si="222"/>
        <v>2</v>
      </c>
      <c r="I255" s="145">
        <f t="shared" si="254"/>
        <v>3</v>
      </c>
      <c r="J255" s="146">
        <f t="shared" si="255"/>
        <v>13.044558795642326</v>
      </c>
      <c r="K255" s="147"/>
      <c r="L255" s="145">
        <f t="shared" si="256"/>
        <v>0.28564970874771345</v>
      </c>
      <c r="M255" s="145">
        <f t="shared" si="257"/>
        <v>9</v>
      </c>
      <c r="N255" s="145">
        <f t="shared" si="258"/>
        <v>55.86</v>
      </c>
      <c r="O255" s="145">
        <f t="shared" si="259"/>
        <v>221.75749952591954</v>
      </c>
      <c r="P255" s="145">
        <f t="shared" si="260"/>
        <v>42.72712302605245</v>
      </c>
      <c r="Q255" s="145">
        <f t="shared" si="261"/>
        <v>103.98125102634023</v>
      </c>
      <c r="R255" s="147">
        <f t="shared" si="262"/>
        <v>424.3258735783122</v>
      </c>
      <c r="S255" s="147"/>
      <c r="T255" s="128">
        <f t="shared" si="263"/>
        <v>0</v>
      </c>
      <c r="U255" s="128">
        <f t="shared" si="264"/>
        <v>0</v>
      </c>
      <c r="V255" s="150">
        <f t="shared" si="265"/>
        <v>0.2176809156973286</v>
      </c>
      <c r="W255" s="150">
        <f t="shared" si="266"/>
        <v>10.01554564207299</v>
      </c>
      <c r="X255" s="150">
        <f t="shared" si="224"/>
        <v>10.233226557770319</v>
      </c>
    </row>
    <row r="256" spans="1:24" ht="12.75">
      <c r="A256" s="141">
        <v>239</v>
      </c>
      <c r="B256" s="142">
        <v>20</v>
      </c>
      <c r="C256" s="143">
        <f t="shared" si="207"/>
        <v>508</v>
      </c>
      <c r="D256" s="143">
        <v>26.19</v>
      </c>
      <c r="E256" s="144" t="s">
        <v>89</v>
      </c>
      <c r="F256" s="144">
        <f t="shared" si="223"/>
        <v>311.19372948977616</v>
      </c>
      <c r="G256" s="145">
        <f t="shared" si="253"/>
        <v>3</v>
      </c>
      <c r="H256" s="145">
        <f t="shared" si="222"/>
        <v>2</v>
      </c>
      <c r="I256" s="145">
        <f t="shared" si="254"/>
        <v>3</v>
      </c>
      <c r="J256" s="146">
        <f t="shared" si="255"/>
        <v>13.044558795642326</v>
      </c>
      <c r="K256" s="147"/>
      <c r="L256" s="145">
        <f t="shared" si="256"/>
        <v>1.2677909912938634</v>
      </c>
      <c r="M256" s="145">
        <f t="shared" si="257"/>
        <v>9</v>
      </c>
      <c r="N256" s="145">
        <f t="shared" si="258"/>
        <v>72.57000000000001</v>
      </c>
      <c r="O256" s="145">
        <f t="shared" si="259"/>
        <v>221.75749952591954</v>
      </c>
      <c r="P256" s="145">
        <f t="shared" si="260"/>
        <v>196.69617270873954</v>
      </c>
      <c r="Q256" s="145">
        <f t="shared" si="261"/>
        <v>109.87409872161713</v>
      </c>
      <c r="R256" s="147">
        <f t="shared" si="262"/>
        <v>600.8977709562762</v>
      </c>
      <c r="S256" s="147"/>
      <c r="T256" s="128">
        <f t="shared" si="263"/>
        <v>0</v>
      </c>
      <c r="U256" s="128">
        <f t="shared" si="264"/>
        <v>0</v>
      </c>
      <c r="V256" s="150">
        <f t="shared" si="265"/>
        <v>0.21252974439800784</v>
      </c>
      <c r="W256" s="150">
        <f t="shared" si="266"/>
        <v>14.103880522318425</v>
      </c>
      <c r="X256" s="150">
        <f t="shared" si="224"/>
        <v>14.316410266716433</v>
      </c>
    </row>
    <row r="257" spans="1:24" ht="12.75">
      <c r="A257" s="141">
        <v>240</v>
      </c>
      <c r="B257" s="142">
        <v>20</v>
      </c>
      <c r="C257" s="143">
        <f t="shared" si="207"/>
        <v>508</v>
      </c>
      <c r="D257" s="143">
        <v>32.54</v>
      </c>
      <c r="E257" s="144" t="s">
        <v>95</v>
      </c>
      <c r="F257" s="144">
        <f t="shared" si="223"/>
        <v>381.54965400564</v>
      </c>
      <c r="G257" s="145">
        <f t="shared" si="253"/>
        <v>3</v>
      </c>
      <c r="H257" s="145">
        <f t="shared" si="222"/>
        <v>2</v>
      </c>
      <c r="I257" s="145">
        <f t="shared" si="254"/>
        <v>3</v>
      </c>
      <c r="J257" s="146">
        <f t="shared" si="255"/>
        <v>13.044558795642326</v>
      </c>
      <c r="K257" s="147"/>
      <c r="L257" s="145">
        <f t="shared" si="256"/>
        <v>2.3874673187926154</v>
      </c>
      <c r="M257" s="145">
        <f t="shared" si="257"/>
        <v>9</v>
      </c>
      <c r="N257" s="145">
        <f t="shared" si="258"/>
        <v>91.62</v>
      </c>
      <c r="O257" s="145">
        <f t="shared" si="259"/>
        <v>221.75749952591954</v>
      </c>
      <c r="P257" s="145">
        <f t="shared" si="260"/>
        <v>385.57295968244614</v>
      </c>
      <c r="Q257" s="145">
        <f t="shared" si="261"/>
        <v>116.59215668660964</v>
      </c>
      <c r="R257" s="147">
        <f t="shared" si="262"/>
        <v>815.5426158949754</v>
      </c>
      <c r="S257" s="147"/>
      <c r="T257" s="128">
        <f t="shared" si="263"/>
        <v>0</v>
      </c>
      <c r="U257" s="128">
        <f t="shared" si="264"/>
        <v>0</v>
      </c>
      <c r="V257" s="150">
        <f t="shared" si="265"/>
        <v>0.20665722415551474</v>
      </c>
      <c r="W257" s="150">
        <f t="shared" si="266"/>
        <v>19.01908199172486</v>
      </c>
      <c r="X257" s="150">
        <f t="shared" si="224"/>
        <v>19.225739215880374</v>
      </c>
    </row>
    <row r="258" spans="1:24" ht="12.75">
      <c r="A258" s="141">
        <v>241</v>
      </c>
      <c r="B258" s="142">
        <v>20</v>
      </c>
      <c r="C258" s="143">
        <f t="shared" si="207"/>
        <v>508</v>
      </c>
      <c r="D258" s="143">
        <v>38.1</v>
      </c>
      <c r="E258" s="144" t="s">
        <v>91</v>
      </c>
      <c r="F258" s="144">
        <f t="shared" si="223"/>
        <v>441.5195619116046</v>
      </c>
      <c r="G258" s="145">
        <f t="shared" si="253"/>
        <v>3</v>
      </c>
      <c r="H258" s="145">
        <f t="shared" si="222"/>
        <v>2</v>
      </c>
      <c r="I258" s="145">
        <f t="shared" si="254"/>
        <v>3</v>
      </c>
      <c r="J258" s="146">
        <f t="shared" si="255"/>
        <v>13.044558795642326</v>
      </c>
      <c r="K258" s="147"/>
      <c r="L258" s="145">
        <f t="shared" si="256"/>
        <v>3.367845331531681</v>
      </c>
      <c r="M258" s="145">
        <f t="shared" si="257"/>
        <v>9</v>
      </c>
      <c r="N258" s="145">
        <f t="shared" si="258"/>
        <v>108.30000000000001</v>
      </c>
      <c r="O258" s="145">
        <f t="shared" si="259"/>
        <v>221.75749952591954</v>
      </c>
      <c r="P258" s="145">
        <f t="shared" si="260"/>
        <v>562.627991825792</v>
      </c>
      <c r="Q258" s="145">
        <f t="shared" si="261"/>
        <v>122.47442476304404</v>
      </c>
      <c r="R258" s="147">
        <f t="shared" si="262"/>
        <v>1015.1599161147556</v>
      </c>
      <c r="S258" s="147"/>
      <c r="T258" s="128">
        <f t="shared" si="263"/>
        <v>0</v>
      </c>
      <c r="U258" s="128">
        <f t="shared" si="264"/>
        <v>0</v>
      </c>
      <c r="V258" s="150">
        <f t="shared" si="265"/>
        <v>0.20151530091956796</v>
      </c>
      <c r="W258" s="150">
        <f t="shared" si="266"/>
        <v>23.540468259993286</v>
      </c>
      <c r="X258" s="150">
        <f t="shared" si="224"/>
        <v>23.741983560912853</v>
      </c>
    </row>
    <row r="259" spans="1:24" ht="12.75">
      <c r="A259" s="141">
        <v>242</v>
      </c>
      <c r="B259" s="142">
        <v>20</v>
      </c>
      <c r="C259" s="143">
        <f t="shared" si="207"/>
        <v>508</v>
      </c>
      <c r="D259" s="143">
        <v>44.45</v>
      </c>
      <c r="E259" s="144" t="s">
        <v>96</v>
      </c>
      <c r="F259" s="144">
        <f t="shared" si="223"/>
        <v>508.1452615694369</v>
      </c>
      <c r="G259" s="145">
        <f t="shared" si="253"/>
        <v>3</v>
      </c>
      <c r="H259" s="145">
        <f t="shared" si="222"/>
        <v>2</v>
      </c>
      <c r="I259" s="145">
        <f t="shared" si="254"/>
        <v>3</v>
      </c>
      <c r="J259" s="146">
        <f t="shared" si="255"/>
        <v>13.044558795642326</v>
      </c>
      <c r="K259" s="147"/>
      <c r="L259" s="145">
        <f t="shared" si="256"/>
        <v>4.487521659030434</v>
      </c>
      <c r="M259" s="145">
        <f t="shared" si="257"/>
        <v>9</v>
      </c>
      <c r="N259" s="145">
        <f t="shared" si="258"/>
        <v>127.35000000000001</v>
      </c>
      <c r="O259" s="145">
        <f t="shared" si="259"/>
        <v>221.75749952591954</v>
      </c>
      <c r="P259" s="145">
        <f t="shared" si="260"/>
        <v>778.175468920519</v>
      </c>
      <c r="Q259" s="145">
        <f t="shared" si="261"/>
        <v>129.19248272803657</v>
      </c>
      <c r="R259" s="147">
        <f t="shared" si="262"/>
        <v>1256.4754511744752</v>
      </c>
      <c r="S259" s="147"/>
      <c r="T259" s="128">
        <f t="shared" si="263"/>
        <v>0</v>
      </c>
      <c r="U259" s="128">
        <f t="shared" si="264"/>
        <v>0</v>
      </c>
      <c r="V259" s="150">
        <f t="shared" si="265"/>
        <v>0.19564278067707483</v>
      </c>
      <c r="W259" s="150">
        <f t="shared" si="266"/>
        <v>28.94711950631604</v>
      </c>
      <c r="X259" s="150">
        <f t="shared" si="224"/>
        <v>29.142762286993115</v>
      </c>
    </row>
    <row r="260" spans="1:24" ht="12.75">
      <c r="A260" s="141">
        <v>243</v>
      </c>
      <c r="B260" s="142">
        <v>20</v>
      </c>
      <c r="C260" s="143">
        <f t="shared" si="207"/>
        <v>508</v>
      </c>
      <c r="D260" s="143">
        <v>50.01</v>
      </c>
      <c r="E260" s="144" t="s">
        <v>90</v>
      </c>
      <c r="F260" s="144">
        <f t="shared" si="223"/>
        <v>564.8490198359281</v>
      </c>
      <c r="G260" s="145">
        <f t="shared" si="253"/>
        <v>3</v>
      </c>
      <c r="H260" s="145">
        <f t="shared" si="222"/>
        <v>2</v>
      </c>
      <c r="I260" s="145">
        <f t="shared" si="254"/>
        <v>3</v>
      </c>
      <c r="J260" s="146">
        <f t="shared" si="255"/>
        <v>13.044558795642326</v>
      </c>
      <c r="K260" s="147"/>
      <c r="L260" s="145">
        <f t="shared" si="256"/>
        <v>5.467899671769499</v>
      </c>
      <c r="M260" s="145">
        <f t="shared" si="257"/>
        <v>9</v>
      </c>
      <c r="N260" s="145">
        <f t="shared" si="258"/>
        <v>144.03</v>
      </c>
      <c r="O260" s="145">
        <f t="shared" si="259"/>
        <v>221.75749952591954</v>
      </c>
      <c r="P260" s="145">
        <f t="shared" si="260"/>
        <v>978.5831053273091</v>
      </c>
      <c r="Q260" s="145">
        <f t="shared" si="261"/>
        <v>135.07475080447097</v>
      </c>
      <c r="R260" s="147">
        <f t="shared" si="262"/>
        <v>1479.4453556576996</v>
      </c>
      <c r="S260" s="147"/>
      <c r="T260" s="128">
        <f t="shared" si="263"/>
        <v>0</v>
      </c>
      <c r="U260" s="128">
        <f t="shared" si="264"/>
        <v>0</v>
      </c>
      <c r="V260" s="150">
        <f t="shared" si="265"/>
        <v>0.1905008574411281</v>
      </c>
      <c r="W260" s="150">
        <f t="shared" si="266"/>
        <v>33.888921634873434</v>
      </c>
      <c r="X260" s="150">
        <f t="shared" si="224"/>
        <v>34.07942249231456</v>
      </c>
    </row>
    <row r="261" spans="1:24" ht="12.75">
      <c r="A261" s="141">
        <v>244</v>
      </c>
      <c r="B261" s="142"/>
      <c r="C261" s="143"/>
      <c r="D261" s="143"/>
      <c r="E261" s="144"/>
      <c r="F261" s="144">
        <f t="shared" si="223"/>
        <v>0</v>
      </c>
      <c r="G261" s="145"/>
      <c r="H261" s="145">
        <f aca="true" t="shared" si="267" ref="H261:H300">IF(D261&lt;2,D261,2)</f>
        <v>0</v>
      </c>
      <c r="I261" s="145"/>
      <c r="J261" s="146"/>
      <c r="K261" s="147"/>
      <c r="L261" s="145"/>
      <c r="M261" s="145"/>
      <c r="N261" s="145"/>
      <c r="O261" s="145"/>
      <c r="P261" s="145"/>
      <c r="Q261" s="145"/>
      <c r="R261" s="147"/>
      <c r="S261" s="147"/>
      <c r="T261" s="128"/>
      <c r="U261" s="128"/>
      <c r="V261" s="150"/>
      <c r="W261" s="150"/>
      <c r="X261" s="150">
        <f t="shared" si="224"/>
        <v>0</v>
      </c>
    </row>
    <row r="262" spans="1:24" ht="12.75">
      <c r="A262" s="141">
        <v>245</v>
      </c>
      <c r="B262" s="142">
        <v>22</v>
      </c>
      <c r="C262" s="143">
        <f t="shared" si="207"/>
        <v>558.8</v>
      </c>
      <c r="D262" s="143">
        <v>4.78</v>
      </c>
      <c r="E262" s="144" t="s">
        <v>81</v>
      </c>
      <c r="F262" s="144">
        <f t="shared" si="223"/>
        <v>65.3089751915428</v>
      </c>
      <c r="G262" s="145">
        <f t="shared" si="1"/>
        <v>3</v>
      </c>
      <c r="H262" s="145">
        <f t="shared" si="267"/>
        <v>2</v>
      </c>
      <c r="I262" s="145">
        <f>IF(D262&lt;=19,2,3)</f>
        <v>2</v>
      </c>
      <c r="J262" s="146">
        <f>IF(D262&lt;=19,(D262-H262)*TAN($C$8*PI()/180),(19-H262)*TAN($C$8*PI()/180))</f>
        <v>2.13316902658151</v>
      </c>
      <c r="K262" s="147"/>
      <c r="L262" s="145">
        <f>IF(D262&lt;=19,0,(D262-19)*TAN($C$10*PI()/180))</f>
        <v>0</v>
      </c>
      <c r="M262" s="145">
        <f>+G262*(H262*1.5)</f>
        <v>9</v>
      </c>
      <c r="N262" s="145">
        <f>+G262*(D262-H262)</f>
        <v>8.34</v>
      </c>
      <c r="O262" s="145">
        <f>IF(D262&lt;=19,(D262-H262)*J262,(19-H262)*J262)</f>
        <v>5.930209893896598</v>
      </c>
      <c r="P262" s="145">
        <f>IF(D262&lt;=19,0,(J262*(D262-19)*2)+((L262)*(D262-19)))</f>
        <v>0</v>
      </c>
      <c r="Q262" s="145">
        <f>+(5+G262+(2*(J262+L262)))*I262</f>
        <v>24.53267610632604</v>
      </c>
      <c r="R262" s="147">
        <f>SUM(N262:Q262)</f>
        <v>38.80288600022264</v>
      </c>
      <c r="S262" s="147"/>
      <c r="T262" s="128">
        <f>IF(D$6=1,(PI()*(C262-(2*D262)+(2*H262))*M262*0.1*0.01*7.85*0.001/(T$16*T$17)),0)</f>
        <v>0</v>
      </c>
      <c r="U262" s="128">
        <f>IF(D$6=1,(PI()*(C262-(0.5*D262))*(R262)*0.1*0.01*7.85*0.001/(U$16*U$17)),0)</f>
        <v>0</v>
      </c>
      <c r="V262" s="150">
        <f>IF(D$6=1,0,(PI()*(C262-(2*D262)+(2*H262))*M262*0.1*0.01*7.85*0.001/(V$16*V$17)))</f>
        <v>0.255819929051725</v>
      </c>
      <c r="W262" s="150">
        <f>IF(D$6=1,0,(PI()*(C262-(0.5*D262))*(R262)*0.1*0.01*7.85*0.001/(W$16*W$17)))</f>
        <v>1.0239414886223372</v>
      </c>
      <c r="X262" s="150">
        <f t="shared" si="224"/>
        <v>1.2797614176740622</v>
      </c>
    </row>
    <row r="263" spans="1:24" ht="12.75">
      <c r="A263" s="141">
        <v>246</v>
      </c>
      <c r="B263" s="142">
        <v>22</v>
      </c>
      <c r="C263" s="143">
        <f t="shared" si="207"/>
        <v>558.8</v>
      </c>
      <c r="D263" s="143">
        <v>5.54</v>
      </c>
      <c r="E263" s="144" t="s">
        <v>84</v>
      </c>
      <c r="F263" s="144">
        <f t="shared" si="223"/>
        <v>75.58899419827459</v>
      </c>
      <c r="G263" s="145">
        <f aca="true" t="shared" si="268" ref="G263:G275">IF($D$6=1,2,3)</f>
        <v>3</v>
      </c>
      <c r="H263" s="145">
        <f t="shared" si="267"/>
        <v>2</v>
      </c>
      <c r="I263" s="145">
        <f aca="true" t="shared" si="269" ref="I263:I275">IF(D263&lt;=19,2,3)</f>
        <v>2</v>
      </c>
      <c r="J263" s="146">
        <f aca="true" t="shared" si="270" ref="J263:J275">IF(D263&lt;=19,(D263-H263)*TAN($C$8*PI()/180),(19-H263)*TAN($C$8*PI()/180))</f>
        <v>2.71633753744552</v>
      </c>
      <c r="K263" s="147"/>
      <c r="L263" s="145">
        <f aca="true" t="shared" si="271" ref="L263:L275">IF(D263&lt;=19,0,(D263-19)*TAN($C$10*PI()/180))</f>
        <v>0</v>
      </c>
      <c r="M263" s="145">
        <f aca="true" t="shared" si="272" ref="M263:M275">+G263*(H263*1.5)</f>
        <v>9</v>
      </c>
      <c r="N263" s="145">
        <f aca="true" t="shared" si="273" ref="N263:N275">+G263*(D263-H263)</f>
        <v>10.620000000000001</v>
      </c>
      <c r="O263" s="145">
        <f aca="true" t="shared" si="274" ref="O263:O275">IF(D263&lt;=19,(D263-H263)*J263,(19-H263)*J263)</f>
        <v>9.61583488255714</v>
      </c>
      <c r="P263" s="145">
        <f aca="true" t="shared" si="275" ref="P263:P275">IF(D263&lt;=19,0,(J263*(D263-19)*2)+((L263)*(D263-19)))</f>
        <v>0</v>
      </c>
      <c r="Q263" s="145">
        <f aca="true" t="shared" si="276" ref="Q263:Q275">+(5+G263+(2*(J263+L263)))*I263</f>
        <v>26.86535014978208</v>
      </c>
      <c r="R263" s="147">
        <f aca="true" t="shared" si="277" ref="R263:R275">SUM(N263:Q263)</f>
        <v>47.101185032339224</v>
      </c>
      <c r="S263" s="147"/>
      <c r="T263" s="128">
        <f aca="true" t="shared" si="278" ref="T263:T275">IF(D$6=1,(PI()*(C263-(2*D263)+(2*H263))*M263*0.1*0.01*7.85*0.001/(T$16*T$17)),0)</f>
        <v>0</v>
      </c>
      <c r="U263" s="128">
        <f aca="true" t="shared" si="279" ref="U263:U275">IF(D$6=1,(PI()*(C263-(0.5*D263))*(R263)*0.1*0.01*7.85*0.001/(U$16*U$17)),0)</f>
        <v>0</v>
      </c>
      <c r="V263" s="150">
        <f aca="true" t="shared" si="280" ref="V263:V275">IF(D$6=1,0,(PI()*(C263-(2*D263)+(2*H263))*M263*0.1*0.01*7.85*0.001/(V$16*V$17)))</f>
        <v>0.25511707623530067</v>
      </c>
      <c r="W263" s="150">
        <f aca="true" t="shared" si="281" ref="W263:W275">IF(D$6=1,0,(PI()*(C263-(0.5*D263))*(R263)*0.1*0.01*7.85*0.001/(W$16*W$17)))</f>
        <v>1.2420704902601931</v>
      </c>
      <c r="X263" s="150">
        <f t="shared" si="224"/>
        <v>1.497187566495494</v>
      </c>
    </row>
    <row r="264" spans="1:24" ht="12.75">
      <c r="A264" s="141">
        <v>247</v>
      </c>
      <c r="B264" s="142">
        <v>22</v>
      </c>
      <c r="C264" s="143">
        <f t="shared" si="207"/>
        <v>558.8</v>
      </c>
      <c r="D264" s="143">
        <v>6.35</v>
      </c>
      <c r="E264" s="144" t="s">
        <v>97</v>
      </c>
      <c r="F264" s="144">
        <f t="shared" si="223"/>
        <v>86.513968212409</v>
      </c>
      <c r="G264" s="145">
        <f t="shared" si="268"/>
        <v>3</v>
      </c>
      <c r="H264" s="145">
        <f t="shared" si="267"/>
        <v>2</v>
      </c>
      <c r="I264" s="145">
        <f t="shared" si="269"/>
        <v>2</v>
      </c>
      <c r="J264" s="146">
        <f t="shared" si="270"/>
        <v>3.337872397708477</v>
      </c>
      <c r="K264" s="147"/>
      <c r="L264" s="145">
        <f t="shared" si="271"/>
        <v>0</v>
      </c>
      <c r="M264" s="145">
        <f t="shared" si="272"/>
        <v>9</v>
      </c>
      <c r="N264" s="145">
        <f t="shared" si="273"/>
        <v>13.049999999999999</v>
      </c>
      <c r="O264" s="145">
        <f t="shared" si="274"/>
        <v>14.519744930031875</v>
      </c>
      <c r="P264" s="145">
        <f t="shared" si="275"/>
        <v>0</v>
      </c>
      <c r="Q264" s="145">
        <f t="shared" si="276"/>
        <v>29.351489590833907</v>
      </c>
      <c r="R264" s="147">
        <f t="shared" si="277"/>
        <v>56.92123452086578</v>
      </c>
      <c r="S264" s="147"/>
      <c r="T264" s="128">
        <f t="shared" si="278"/>
        <v>0</v>
      </c>
      <c r="U264" s="128">
        <f t="shared" si="279"/>
        <v>0</v>
      </c>
      <c r="V264" s="150">
        <f t="shared" si="280"/>
        <v>0.25436798310200626</v>
      </c>
      <c r="W264" s="150">
        <f t="shared" si="281"/>
        <v>1.4999344318335819</v>
      </c>
      <c r="X264" s="150">
        <f t="shared" si="224"/>
        <v>1.7543024149355881</v>
      </c>
    </row>
    <row r="265" spans="1:24" ht="12.75">
      <c r="A265" s="141">
        <v>248</v>
      </c>
      <c r="B265" s="142">
        <v>22</v>
      </c>
      <c r="C265" s="143">
        <f t="shared" si="207"/>
        <v>558.8</v>
      </c>
      <c r="D265" s="143">
        <v>9.52</v>
      </c>
      <c r="E265" s="144" t="s">
        <v>92</v>
      </c>
      <c r="F265" s="144">
        <f t="shared" si="223"/>
        <v>128.9585864018644</v>
      </c>
      <c r="G265" s="145">
        <f t="shared" si="268"/>
        <v>3</v>
      </c>
      <c r="H265" s="145">
        <f t="shared" si="267"/>
        <v>2</v>
      </c>
      <c r="I265" s="145">
        <f t="shared" si="269"/>
        <v>2</v>
      </c>
      <c r="J265" s="146">
        <f t="shared" si="270"/>
        <v>5.770298949601782</v>
      </c>
      <c r="K265" s="147"/>
      <c r="L265" s="145">
        <f t="shared" si="271"/>
        <v>0</v>
      </c>
      <c r="M265" s="145">
        <f t="shared" si="272"/>
        <v>9</v>
      </c>
      <c r="N265" s="145">
        <f t="shared" si="273"/>
        <v>22.56</v>
      </c>
      <c r="O265" s="145">
        <f t="shared" si="274"/>
        <v>43.39264810100539</v>
      </c>
      <c r="P265" s="145">
        <f t="shared" si="275"/>
        <v>0</v>
      </c>
      <c r="Q265" s="145">
        <f t="shared" si="276"/>
        <v>39.08119579840712</v>
      </c>
      <c r="R265" s="147">
        <f t="shared" si="277"/>
        <v>105.03384389941252</v>
      </c>
      <c r="S265" s="147"/>
      <c r="T265" s="128">
        <f t="shared" si="278"/>
        <v>0</v>
      </c>
      <c r="U265" s="128">
        <f t="shared" si="279"/>
        <v>0</v>
      </c>
      <c r="V265" s="150">
        <f t="shared" si="280"/>
        <v>0.2514363470124467</v>
      </c>
      <c r="W265" s="150">
        <f t="shared" si="281"/>
        <v>2.7598569107866213</v>
      </c>
      <c r="X265" s="150">
        <f t="shared" si="224"/>
        <v>3.011293257799068</v>
      </c>
    </row>
    <row r="266" spans="1:24" ht="12.75">
      <c r="A266" s="141">
        <v>249</v>
      </c>
      <c r="B266" s="142">
        <v>22</v>
      </c>
      <c r="C266" s="143">
        <f t="shared" si="207"/>
        <v>558.8</v>
      </c>
      <c r="D266" s="143">
        <v>9.52</v>
      </c>
      <c r="E266" s="144" t="s">
        <v>86</v>
      </c>
      <c r="F266" s="144">
        <f t="shared" si="223"/>
        <v>128.9585864018644</v>
      </c>
      <c r="G266" s="145">
        <f t="shared" si="268"/>
        <v>3</v>
      </c>
      <c r="H266" s="145">
        <f t="shared" si="267"/>
        <v>2</v>
      </c>
      <c r="I266" s="145">
        <f t="shared" si="269"/>
        <v>2</v>
      </c>
      <c r="J266" s="146">
        <f t="shared" si="270"/>
        <v>5.770298949601782</v>
      </c>
      <c r="K266" s="147"/>
      <c r="L266" s="145">
        <f t="shared" si="271"/>
        <v>0</v>
      </c>
      <c r="M266" s="145">
        <f t="shared" si="272"/>
        <v>9</v>
      </c>
      <c r="N266" s="145">
        <f t="shared" si="273"/>
        <v>22.56</v>
      </c>
      <c r="O266" s="145">
        <f t="shared" si="274"/>
        <v>43.39264810100539</v>
      </c>
      <c r="P266" s="145">
        <f t="shared" si="275"/>
        <v>0</v>
      </c>
      <c r="Q266" s="145">
        <f t="shared" si="276"/>
        <v>39.08119579840712</v>
      </c>
      <c r="R266" s="147">
        <f t="shared" si="277"/>
        <v>105.03384389941252</v>
      </c>
      <c r="S266" s="147"/>
      <c r="T266" s="128">
        <f t="shared" si="278"/>
        <v>0</v>
      </c>
      <c r="U266" s="128">
        <f t="shared" si="279"/>
        <v>0</v>
      </c>
      <c r="V266" s="150">
        <f t="shared" si="280"/>
        <v>0.2514363470124467</v>
      </c>
      <c r="W266" s="150">
        <f t="shared" si="281"/>
        <v>2.7598569107866213</v>
      </c>
      <c r="X266" s="150">
        <f t="shared" si="224"/>
        <v>3.011293257799068</v>
      </c>
    </row>
    <row r="267" spans="1:24" ht="12.75">
      <c r="A267" s="141">
        <v>250</v>
      </c>
      <c r="B267" s="142">
        <v>22</v>
      </c>
      <c r="C267" s="143">
        <f t="shared" si="207"/>
        <v>558.8</v>
      </c>
      <c r="D267" s="143">
        <v>12.7</v>
      </c>
      <c r="E267" s="144" t="s">
        <v>93</v>
      </c>
      <c r="F267" s="144">
        <f t="shared" si="223"/>
        <v>171.0391095693603</v>
      </c>
      <c r="G267" s="145">
        <f t="shared" si="268"/>
        <v>3</v>
      </c>
      <c r="H267" s="145">
        <f t="shared" si="267"/>
        <v>2</v>
      </c>
      <c r="I267" s="145">
        <f t="shared" si="269"/>
        <v>2</v>
      </c>
      <c r="J267" s="146">
        <f t="shared" si="270"/>
        <v>8.210398771374875</v>
      </c>
      <c r="K267" s="147"/>
      <c r="L267" s="145">
        <f t="shared" si="271"/>
        <v>0</v>
      </c>
      <c r="M267" s="145">
        <f t="shared" si="272"/>
        <v>9</v>
      </c>
      <c r="N267" s="145">
        <f t="shared" si="273"/>
        <v>32.099999999999994</v>
      </c>
      <c r="O267" s="145">
        <f t="shared" si="274"/>
        <v>87.85126685371115</v>
      </c>
      <c r="P267" s="145">
        <f t="shared" si="275"/>
        <v>0</v>
      </c>
      <c r="Q267" s="145">
        <f t="shared" si="276"/>
        <v>48.8415950854995</v>
      </c>
      <c r="R267" s="147">
        <f t="shared" si="277"/>
        <v>168.79286193921064</v>
      </c>
      <c r="S267" s="147"/>
      <c r="T267" s="128">
        <f t="shared" si="278"/>
        <v>0</v>
      </c>
      <c r="U267" s="128">
        <f t="shared" si="279"/>
        <v>0</v>
      </c>
      <c r="V267" s="150">
        <f t="shared" si="280"/>
        <v>0.2484954628595131</v>
      </c>
      <c r="W267" s="150">
        <f t="shared" si="281"/>
        <v>4.422453147271476</v>
      </c>
      <c r="X267" s="150">
        <f t="shared" si="224"/>
        <v>4.670948610130989</v>
      </c>
    </row>
    <row r="268" spans="1:24" ht="12.75">
      <c r="A268" s="141">
        <v>251</v>
      </c>
      <c r="B268" s="142">
        <v>22</v>
      </c>
      <c r="C268" s="143">
        <f t="shared" si="207"/>
        <v>558.8</v>
      </c>
      <c r="D268" s="143">
        <v>12.7</v>
      </c>
      <c r="E268" s="144" t="s">
        <v>82</v>
      </c>
      <c r="F268" s="144">
        <f t="shared" si="223"/>
        <v>171.0391095693603</v>
      </c>
      <c r="G268" s="145">
        <f t="shared" si="268"/>
        <v>3</v>
      </c>
      <c r="H268" s="145">
        <f t="shared" si="267"/>
        <v>2</v>
      </c>
      <c r="I268" s="145">
        <f t="shared" si="269"/>
        <v>2</v>
      </c>
      <c r="J268" s="146">
        <f t="shared" si="270"/>
        <v>8.210398771374875</v>
      </c>
      <c r="K268" s="147"/>
      <c r="L268" s="145">
        <f t="shared" si="271"/>
        <v>0</v>
      </c>
      <c r="M268" s="145">
        <f t="shared" si="272"/>
        <v>9</v>
      </c>
      <c r="N268" s="145">
        <f t="shared" si="273"/>
        <v>32.099999999999994</v>
      </c>
      <c r="O268" s="145">
        <f t="shared" si="274"/>
        <v>87.85126685371115</v>
      </c>
      <c r="P268" s="145">
        <f t="shared" si="275"/>
        <v>0</v>
      </c>
      <c r="Q268" s="145">
        <f t="shared" si="276"/>
        <v>48.8415950854995</v>
      </c>
      <c r="R268" s="147">
        <f t="shared" si="277"/>
        <v>168.79286193921064</v>
      </c>
      <c r="S268" s="147"/>
      <c r="T268" s="128">
        <f t="shared" si="278"/>
        <v>0</v>
      </c>
      <c r="U268" s="128">
        <f t="shared" si="279"/>
        <v>0</v>
      </c>
      <c r="V268" s="150">
        <f t="shared" si="280"/>
        <v>0.2484954628595131</v>
      </c>
      <c r="W268" s="150">
        <f t="shared" si="281"/>
        <v>4.422453147271476</v>
      </c>
      <c r="X268" s="150">
        <f t="shared" si="224"/>
        <v>4.670948610130989</v>
      </c>
    </row>
    <row r="269" spans="1:24" ht="12.75">
      <c r="A269" s="141">
        <v>252</v>
      </c>
      <c r="B269" s="142">
        <v>22</v>
      </c>
      <c r="C269" s="143">
        <f t="shared" si="207"/>
        <v>558.8</v>
      </c>
      <c r="D269" s="143">
        <v>15.88</v>
      </c>
      <c r="E269" s="144" t="s">
        <v>87</v>
      </c>
      <c r="F269" s="144">
        <f t="shared" si="223"/>
        <v>212.62085878451873</v>
      </c>
      <c r="G269" s="145">
        <f t="shared" si="268"/>
        <v>3</v>
      </c>
      <c r="H269" s="145">
        <f t="shared" si="267"/>
        <v>2</v>
      </c>
      <c r="I269" s="145">
        <f t="shared" si="269"/>
        <v>2</v>
      </c>
      <c r="J269" s="146">
        <f t="shared" si="270"/>
        <v>10.65049859314797</v>
      </c>
      <c r="K269" s="147"/>
      <c r="L269" s="145">
        <f t="shared" si="271"/>
        <v>0</v>
      </c>
      <c r="M269" s="145">
        <f t="shared" si="272"/>
        <v>9</v>
      </c>
      <c r="N269" s="145">
        <f t="shared" si="273"/>
        <v>41.64</v>
      </c>
      <c r="O269" s="145">
        <f t="shared" si="274"/>
        <v>147.82892047289383</v>
      </c>
      <c r="P269" s="145">
        <f t="shared" si="275"/>
        <v>0</v>
      </c>
      <c r="Q269" s="145">
        <f t="shared" si="276"/>
        <v>58.60199437259188</v>
      </c>
      <c r="R269" s="147">
        <f t="shared" si="277"/>
        <v>248.07091484548573</v>
      </c>
      <c r="S269" s="147"/>
      <c r="T269" s="128">
        <f t="shared" si="278"/>
        <v>0</v>
      </c>
      <c r="U269" s="128">
        <f t="shared" si="279"/>
        <v>0</v>
      </c>
      <c r="V269" s="150">
        <f t="shared" si="280"/>
        <v>0.24555457870657954</v>
      </c>
      <c r="W269" s="150">
        <f t="shared" si="281"/>
        <v>6.480869430369413</v>
      </c>
      <c r="X269" s="150">
        <f t="shared" si="224"/>
        <v>6.726424009075993</v>
      </c>
    </row>
    <row r="270" spans="1:24" ht="12.75">
      <c r="A270" s="141">
        <v>253</v>
      </c>
      <c r="B270" s="142">
        <v>22</v>
      </c>
      <c r="C270" s="143">
        <f t="shared" si="207"/>
        <v>558.8</v>
      </c>
      <c r="D270" s="143">
        <v>22.22</v>
      </c>
      <c r="E270" s="144" t="s">
        <v>94</v>
      </c>
      <c r="F270" s="144">
        <f t="shared" si="223"/>
        <v>294.0343474156477</v>
      </c>
      <c r="G270" s="145">
        <f t="shared" si="268"/>
        <v>3</v>
      </c>
      <c r="H270" s="145">
        <f t="shared" si="267"/>
        <v>2</v>
      </c>
      <c r="I270" s="145">
        <f t="shared" si="269"/>
        <v>3</v>
      </c>
      <c r="J270" s="146">
        <f t="shared" si="270"/>
        <v>13.044558795642326</v>
      </c>
      <c r="K270" s="147"/>
      <c r="L270" s="145">
        <f t="shared" si="271"/>
        <v>0.567772877881257</v>
      </c>
      <c r="M270" s="145">
        <f t="shared" si="272"/>
        <v>9</v>
      </c>
      <c r="N270" s="145">
        <f t="shared" si="273"/>
        <v>60.66</v>
      </c>
      <c r="O270" s="145">
        <f t="shared" si="274"/>
        <v>221.75749952591954</v>
      </c>
      <c r="P270" s="145">
        <f t="shared" si="275"/>
        <v>85.83518731071419</v>
      </c>
      <c r="Q270" s="145">
        <f t="shared" si="276"/>
        <v>105.67399004114151</v>
      </c>
      <c r="R270" s="147">
        <f t="shared" si="277"/>
        <v>473.92667687777526</v>
      </c>
      <c r="S270" s="147"/>
      <c r="T270" s="128">
        <f t="shared" si="278"/>
        <v>0</v>
      </c>
      <c r="U270" s="128">
        <f t="shared" si="279"/>
        <v>0</v>
      </c>
      <c r="V270" s="150">
        <f t="shared" si="280"/>
        <v>0.23969130652746035</v>
      </c>
      <c r="W270" s="150">
        <f t="shared" si="281"/>
        <v>12.31011620621303</v>
      </c>
      <c r="X270" s="150">
        <f t="shared" si="224"/>
        <v>12.54980751274049</v>
      </c>
    </row>
    <row r="271" spans="1:24" ht="12.75">
      <c r="A271" s="141">
        <v>254</v>
      </c>
      <c r="B271" s="142">
        <v>22</v>
      </c>
      <c r="C271" s="143">
        <f t="shared" si="207"/>
        <v>558.8</v>
      </c>
      <c r="D271" s="143">
        <v>28.58</v>
      </c>
      <c r="E271" s="144" t="s">
        <v>89</v>
      </c>
      <c r="F271" s="144">
        <f t="shared" si="223"/>
        <v>373.7127020657946</v>
      </c>
      <c r="G271" s="145">
        <f t="shared" si="268"/>
        <v>3</v>
      </c>
      <c r="H271" s="145">
        <f t="shared" si="267"/>
        <v>2</v>
      </c>
      <c r="I271" s="145">
        <f t="shared" si="269"/>
        <v>3</v>
      </c>
      <c r="J271" s="146">
        <f t="shared" si="270"/>
        <v>13.044558795642326</v>
      </c>
      <c r="K271" s="147"/>
      <c r="L271" s="145">
        <f t="shared" si="271"/>
        <v>1.689212475187094</v>
      </c>
      <c r="M271" s="145">
        <f t="shared" si="272"/>
        <v>9</v>
      </c>
      <c r="N271" s="145">
        <f t="shared" si="273"/>
        <v>79.74</v>
      </c>
      <c r="O271" s="145">
        <f t="shared" si="274"/>
        <v>221.75749952591954</v>
      </c>
      <c r="P271" s="145">
        <f t="shared" si="275"/>
        <v>266.1164020367993</v>
      </c>
      <c r="Q271" s="145">
        <f t="shared" si="276"/>
        <v>112.40262762497653</v>
      </c>
      <c r="R271" s="147">
        <f t="shared" si="277"/>
        <v>680.0165291876954</v>
      </c>
      <c r="S271" s="147"/>
      <c r="T271" s="128">
        <f t="shared" si="278"/>
        <v>0</v>
      </c>
      <c r="U271" s="128">
        <f t="shared" si="279"/>
        <v>0</v>
      </c>
      <c r="V271" s="150">
        <f t="shared" si="280"/>
        <v>0.23380953822159325</v>
      </c>
      <c r="W271" s="150">
        <f t="shared" si="281"/>
        <v>17.560687523634428</v>
      </c>
      <c r="X271" s="150">
        <f t="shared" si="224"/>
        <v>17.79449706185602</v>
      </c>
    </row>
    <row r="272" spans="1:24" ht="12.75">
      <c r="A272" s="141">
        <v>255</v>
      </c>
      <c r="B272" s="142">
        <v>22</v>
      </c>
      <c r="C272" s="143">
        <f t="shared" si="207"/>
        <v>558.8</v>
      </c>
      <c r="D272" s="143">
        <v>34.92</v>
      </c>
      <c r="E272" s="144" t="s">
        <v>95</v>
      </c>
      <c r="F272" s="144">
        <f t="shared" si="223"/>
        <v>451.1548010076003</v>
      </c>
      <c r="G272" s="145">
        <f t="shared" si="268"/>
        <v>3</v>
      </c>
      <c r="H272" s="145">
        <f t="shared" si="267"/>
        <v>2</v>
      </c>
      <c r="I272" s="145">
        <f t="shared" si="269"/>
        <v>3</v>
      </c>
      <c r="J272" s="146">
        <f t="shared" si="270"/>
        <v>13.044558795642326</v>
      </c>
      <c r="K272" s="147"/>
      <c r="L272" s="145">
        <f t="shared" si="271"/>
        <v>2.8071255328787625</v>
      </c>
      <c r="M272" s="145">
        <f t="shared" si="272"/>
        <v>9</v>
      </c>
      <c r="N272" s="145">
        <f t="shared" si="273"/>
        <v>98.76</v>
      </c>
      <c r="O272" s="145">
        <f t="shared" si="274"/>
        <v>221.75749952591954</v>
      </c>
      <c r="P272" s="145">
        <f t="shared" si="275"/>
        <v>460.0281905366816</v>
      </c>
      <c r="Q272" s="145">
        <f t="shared" si="276"/>
        <v>119.11010597112653</v>
      </c>
      <c r="R272" s="147">
        <f t="shared" si="277"/>
        <v>899.6557960337277</v>
      </c>
      <c r="S272" s="147"/>
      <c r="T272" s="128">
        <f t="shared" si="278"/>
        <v>0</v>
      </c>
      <c r="U272" s="128">
        <f t="shared" si="279"/>
        <v>0</v>
      </c>
      <c r="V272" s="150">
        <f t="shared" si="280"/>
        <v>0.22794626604247406</v>
      </c>
      <c r="W272" s="150">
        <f t="shared" si="281"/>
        <v>23.097378255538203</v>
      </c>
      <c r="X272" s="150">
        <f t="shared" si="224"/>
        <v>23.325324521580676</v>
      </c>
    </row>
    <row r="273" spans="1:24" ht="12.75">
      <c r="A273" s="141">
        <v>256</v>
      </c>
      <c r="B273" s="142">
        <v>22</v>
      </c>
      <c r="C273" s="143">
        <f t="shared" si="207"/>
        <v>558.8</v>
      </c>
      <c r="D273" s="143">
        <v>41.28</v>
      </c>
      <c r="E273" s="144" t="s">
        <v>91</v>
      </c>
      <c r="F273" s="144">
        <f t="shared" si="223"/>
        <v>526.8492379252399</v>
      </c>
      <c r="G273" s="145">
        <f t="shared" si="268"/>
        <v>3</v>
      </c>
      <c r="H273" s="145">
        <f t="shared" si="267"/>
        <v>2</v>
      </c>
      <c r="I273" s="145">
        <f t="shared" si="269"/>
        <v>3</v>
      </c>
      <c r="J273" s="146">
        <f t="shared" si="270"/>
        <v>13.044558795642326</v>
      </c>
      <c r="K273" s="147"/>
      <c r="L273" s="145">
        <f t="shared" si="271"/>
        <v>3.9285651301846</v>
      </c>
      <c r="M273" s="145">
        <f t="shared" si="272"/>
        <v>9</v>
      </c>
      <c r="N273" s="145">
        <f t="shared" si="273"/>
        <v>117.84</v>
      </c>
      <c r="O273" s="145">
        <f t="shared" si="274"/>
        <v>221.75749952591954</v>
      </c>
      <c r="P273" s="145">
        <f t="shared" si="275"/>
        <v>668.793971034335</v>
      </c>
      <c r="Q273" s="145">
        <f t="shared" si="276"/>
        <v>125.83874355496155</v>
      </c>
      <c r="R273" s="147">
        <f t="shared" si="277"/>
        <v>1134.230214115216</v>
      </c>
      <c r="S273" s="147"/>
      <c r="T273" s="128">
        <f t="shared" si="278"/>
        <v>0</v>
      </c>
      <c r="U273" s="128">
        <f t="shared" si="279"/>
        <v>0</v>
      </c>
      <c r="V273" s="150">
        <f t="shared" si="280"/>
        <v>0.22206449773660691</v>
      </c>
      <c r="W273" s="150">
        <f t="shared" si="281"/>
        <v>28.94868312779872</v>
      </c>
      <c r="X273" s="150">
        <f t="shared" si="224"/>
        <v>29.170747625535327</v>
      </c>
    </row>
    <row r="274" spans="1:24" ht="12.75">
      <c r="A274" s="141">
        <v>257</v>
      </c>
      <c r="B274" s="142">
        <v>22</v>
      </c>
      <c r="C274" s="143">
        <f t="shared" si="207"/>
        <v>558.8</v>
      </c>
      <c r="D274" s="143">
        <v>47.62</v>
      </c>
      <c r="E274" s="144" t="s">
        <v>96</v>
      </c>
      <c r="F274" s="144">
        <f t="shared" si="223"/>
        <v>600.319947177722</v>
      </c>
      <c r="G274" s="145">
        <f t="shared" si="268"/>
        <v>3</v>
      </c>
      <c r="H274" s="145">
        <f t="shared" si="267"/>
        <v>2</v>
      </c>
      <c r="I274" s="145">
        <f t="shared" si="269"/>
        <v>3</v>
      </c>
      <c r="J274" s="146">
        <f t="shared" si="270"/>
        <v>13.044558795642326</v>
      </c>
      <c r="K274" s="147"/>
      <c r="L274" s="145">
        <f t="shared" si="271"/>
        <v>5.046478187876267</v>
      </c>
      <c r="M274" s="145">
        <f t="shared" si="272"/>
        <v>9</v>
      </c>
      <c r="N274" s="145">
        <f t="shared" si="273"/>
        <v>136.85999999999999</v>
      </c>
      <c r="O274" s="145">
        <f t="shared" si="274"/>
        <v>221.75749952591954</v>
      </c>
      <c r="P274" s="145">
        <f t="shared" si="275"/>
        <v>891.1007511995854</v>
      </c>
      <c r="Q274" s="145">
        <f t="shared" si="276"/>
        <v>132.54622190111155</v>
      </c>
      <c r="R274" s="147">
        <f t="shared" si="277"/>
        <v>1382.2644726266165</v>
      </c>
      <c r="S274" s="147"/>
      <c r="T274" s="128">
        <f t="shared" si="278"/>
        <v>0</v>
      </c>
      <c r="U274" s="128">
        <f t="shared" si="279"/>
        <v>0</v>
      </c>
      <c r="V274" s="150">
        <f t="shared" si="280"/>
        <v>0.21620122555748783</v>
      </c>
      <c r="W274" s="150">
        <f t="shared" si="281"/>
        <v>35.071391379671</v>
      </c>
      <c r="X274" s="150">
        <f t="shared" si="224"/>
        <v>35.28759260522849</v>
      </c>
    </row>
    <row r="275" spans="1:24" ht="12.75">
      <c r="A275" s="141">
        <v>258</v>
      </c>
      <c r="B275" s="142">
        <v>22</v>
      </c>
      <c r="C275" s="143">
        <f t="shared" si="207"/>
        <v>558.8</v>
      </c>
      <c r="D275" s="143">
        <v>53.98</v>
      </c>
      <c r="E275" s="144" t="s">
        <v>90</v>
      </c>
      <c r="F275" s="144">
        <f aca="true" t="shared" si="282" ref="F275:F323">+PI()*D275*(C275-D275)*0.00785</f>
        <v>672.0304663628543</v>
      </c>
      <c r="G275" s="145">
        <f t="shared" si="268"/>
        <v>3</v>
      </c>
      <c r="H275" s="145">
        <f t="shared" si="267"/>
        <v>2</v>
      </c>
      <c r="I275" s="145">
        <f t="shared" si="269"/>
        <v>3</v>
      </c>
      <c r="J275" s="146">
        <f t="shared" si="270"/>
        <v>13.044558795642326</v>
      </c>
      <c r="K275" s="147"/>
      <c r="L275" s="145">
        <f t="shared" si="271"/>
        <v>6.167917785182104</v>
      </c>
      <c r="M275" s="145">
        <f t="shared" si="272"/>
        <v>9</v>
      </c>
      <c r="N275" s="145">
        <f t="shared" si="273"/>
        <v>155.94</v>
      </c>
      <c r="O275" s="145">
        <f t="shared" si="274"/>
        <v>221.75749952591954</v>
      </c>
      <c r="P275" s="145">
        <f t="shared" si="275"/>
        <v>1128.351097468807</v>
      </c>
      <c r="Q275" s="145">
        <f t="shared" si="276"/>
        <v>139.27485948494657</v>
      </c>
      <c r="R275" s="147">
        <f t="shared" si="277"/>
        <v>1645.323456479673</v>
      </c>
      <c r="S275" s="147"/>
      <c r="T275" s="128">
        <f t="shared" si="278"/>
        <v>0</v>
      </c>
      <c r="U275" s="128">
        <f t="shared" si="279"/>
        <v>0</v>
      </c>
      <c r="V275" s="150">
        <f t="shared" si="280"/>
        <v>0.2103194572516207</v>
      </c>
      <c r="W275" s="150">
        <f t="shared" si="281"/>
        <v>41.497695008448744</v>
      </c>
      <c r="X275" s="150">
        <f aca="true" t="shared" si="283" ref="X275:X323">SUM(V275:W275)</f>
        <v>41.708014465700366</v>
      </c>
    </row>
    <row r="276" spans="1:24" ht="12.75">
      <c r="A276" s="141">
        <v>259</v>
      </c>
      <c r="B276" s="142"/>
      <c r="C276" s="143"/>
      <c r="D276" s="143"/>
      <c r="E276" s="144"/>
      <c r="F276" s="144">
        <f t="shared" si="282"/>
        <v>0</v>
      </c>
      <c r="G276" s="145"/>
      <c r="H276" s="145">
        <f t="shared" si="267"/>
        <v>0</v>
      </c>
      <c r="I276" s="145"/>
      <c r="J276" s="146"/>
      <c r="K276" s="147"/>
      <c r="L276" s="145"/>
      <c r="M276" s="145"/>
      <c r="N276" s="145"/>
      <c r="O276" s="145"/>
      <c r="P276" s="145"/>
      <c r="Q276" s="145"/>
      <c r="R276" s="147"/>
      <c r="S276" s="147"/>
      <c r="T276" s="128"/>
      <c r="U276" s="128"/>
      <c r="V276" s="150"/>
      <c r="W276" s="150"/>
      <c r="X276" s="150">
        <f t="shared" si="283"/>
        <v>0</v>
      </c>
    </row>
    <row r="277" spans="1:24" ht="12.75">
      <c r="A277" s="141">
        <v>260</v>
      </c>
      <c r="B277" s="142">
        <v>24</v>
      </c>
      <c r="C277" s="143">
        <f t="shared" si="207"/>
        <v>609.5999999999999</v>
      </c>
      <c r="D277" s="143">
        <v>5.54</v>
      </c>
      <c r="E277" s="144" t="s">
        <v>81</v>
      </c>
      <c r="F277" s="144">
        <f t="shared" si="282"/>
        <v>82.52953012220249</v>
      </c>
      <c r="G277" s="145">
        <f t="shared" si="1"/>
        <v>3</v>
      </c>
      <c r="H277" s="145">
        <f t="shared" si="267"/>
        <v>2</v>
      </c>
      <c r="I277" s="145">
        <f>IF(D277&lt;=19,2,3)</f>
        <v>2</v>
      </c>
      <c r="J277" s="146">
        <f>IF(D277&lt;=19,(D277-H277)*TAN($C$8*PI()/180),(19-H277)*TAN($C$8*PI()/180))</f>
        <v>2.71633753744552</v>
      </c>
      <c r="K277" s="147"/>
      <c r="L277" s="145">
        <f>IF(D277&lt;=19,0,(D277-19)*TAN($C$10*PI()/180))</f>
        <v>0</v>
      </c>
      <c r="M277" s="145">
        <f>+G277*(H277*1.5)</f>
        <v>9</v>
      </c>
      <c r="N277" s="145">
        <f>+G277*(D277-H277)</f>
        <v>10.620000000000001</v>
      </c>
      <c r="O277" s="145">
        <f>IF(D277&lt;=19,(D277-H277)*J277,(19-H277)*J277)</f>
        <v>9.61583488255714</v>
      </c>
      <c r="P277" s="145">
        <f>IF(D277&lt;=19,0,(J277*(D277-19)*2)+((L277)*(D277-19)))</f>
        <v>0</v>
      </c>
      <c r="Q277" s="145">
        <f>+(5+G277+(2*(J277+L277)))*I277</f>
        <v>26.86535014978208</v>
      </c>
      <c r="R277" s="147">
        <f>SUM(N277:Q277)</f>
        <v>47.101185032339224</v>
      </c>
      <c r="S277" s="147"/>
      <c r="T277" s="128">
        <f>IF(D$6=1,(PI()*(C277-(2*D277)+(2*H277))*M277*0.1*0.01*7.85*0.001/(T$16*T$17)),0)</f>
        <v>0</v>
      </c>
      <c r="U277" s="128">
        <f>IF(D$6=1,(PI()*(C277-(0.5*D277))*(R277)*0.1*0.01*7.85*0.001/(U$16*U$17)),0)</f>
        <v>0</v>
      </c>
      <c r="V277" s="150">
        <f>IF(D$6=1,0,(PI()*(C277-(2*D277)+(2*H277))*M277*0.1*0.01*7.85*0.001/(V$16*V$17)))</f>
        <v>0.27860715720527324</v>
      </c>
      <c r="W277" s="150">
        <f>IF(D$6=1,0,(PI()*(C277-(0.5*D277))*(R277)*0.1*0.01*7.85*0.001/(W$16*W$17)))</f>
        <v>1.3555485056644294</v>
      </c>
      <c r="X277" s="150">
        <f t="shared" si="283"/>
        <v>1.6341556628697027</v>
      </c>
    </row>
    <row r="278" spans="1:24" ht="12.75">
      <c r="A278" s="141">
        <v>261</v>
      </c>
      <c r="B278" s="142">
        <v>24</v>
      </c>
      <c r="C278" s="143">
        <f t="shared" si="207"/>
        <v>609.5999999999999</v>
      </c>
      <c r="D278" s="143">
        <v>6.35</v>
      </c>
      <c r="E278" s="144" t="s">
        <v>84</v>
      </c>
      <c r="F278" s="144">
        <f t="shared" si="282"/>
        <v>94.46927563423971</v>
      </c>
      <c r="G278" s="145">
        <f aca="true" t="shared" si="284" ref="G278:G290">IF($D$6=1,2,3)</f>
        <v>3</v>
      </c>
      <c r="H278" s="145">
        <f t="shared" si="267"/>
        <v>2</v>
      </c>
      <c r="I278" s="145">
        <f aca="true" t="shared" si="285" ref="I278:I290">IF(D278&lt;=19,2,3)</f>
        <v>2</v>
      </c>
      <c r="J278" s="146">
        <f aca="true" t="shared" si="286" ref="J278:J290">IF(D278&lt;=19,(D278-H278)*TAN($C$8*PI()/180),(19-H278)*TAN($C$8*PI()/180))</f>
        <v>3.337872397708477</v>
      </c>
      <c r="K278" s="147"/>
      <c r="L278" s="145">
        <f aca="true" t="shared" si="287" ref="L278:L290">IF(D278&lt;=19,0,(D278-19)*TAN($C$10*PI()/180))</f>
        <v>0</v>
      </c>
      <c r="M278" s="145">
        <f aca="true" t="shared" si="288" ref="M278:M290">+G278*(H278*1.5)</f>
        <v>9</v>
      </c>
      <c r="N278" s="145">
        <f aca="true" t="shared" si="289" ref="N278:N290">+G278*(D278-H278)</f>
        <v>13.049999999999999</v>
      </c>
      <c r="O278" s="145">
        <f aca="true" t="shared" si="290" ref="O278:O290">IF(D278&lt;=19,(D278-H278)*J278,(19-H278)*J278)</f>
        <v>14.519744930031875</v>
      </c>
      <c r="P278" s="145">
        <f aca="true" t="shared" si="291" ref="P278:P290">IF(D278&lt;=19,0,(J278*(D278-19)*2)+((L278)*(D278-19)))</f>
        <v>0</v>
      </c>
      <c r="Q278" s="145">
        <f aca="true" t="shared" si="292" ref="Q278:Q290">+(5+G278+(2*(J278+L278)))*I278</f>
        <v>29.351489590833907</v>
      </c>
      <c r="R278" s="147">
        <f aca="true" t="shared" si="293" ref="R278:R290">SUM(N278:Q278)</f>
        <v>56.92123452086578</v>
      </c>
      <c r="S278" s="147"/>
      <c r="T278" s="128">
        <f aca="true" t="shared" si="294" ref="T278:T290">IF(D$6=1,(PI()*(C278-(2*D278)+(2*H278))*M278*0.1*0.01*7.85*0.001/(T$16*T$17)),0)</f>
        <v>0</v>
      </c>
      <c r="U278" s="128">
        <f aca="true" t="shared" si="295" ref="U278:U290">IF(D$6=1,(PI()*(C278-(0.5*D278))*(R278)*0.1*0.01*7.85*0.001/(U$16*U$17)),0)</f>
        <v>0</v>
      </c>
      <c r="V278" s="150">
        <f aca="true" t="shared" si="296" ref="V278:V290">IF(D$6=1,0,(PI()*(C278-(2*D278)+(2*H278))*M278*0.1*0.01*7.85*0.001/(V$16*V$17)))</f>
        <v>0.27785806407197877</v>
      </c>
      <c r="W278" s="150">
        <f aca="true" t="shared" si="297" ref="W278:W290">IF(D$6=1,0,(PI()*(C278-(0.5*D278))*(R278)*0.1*0.01*7.85*0.001/(W$16*W$17)))</f>
        <v>1.6370712941726517</v>
      </c>
      <c r="X278" s="150">
        <f t="shared" si="283"/>
        <v>1.9149293582446305</v>
      </c>
    </row>
    <row r="279" spans="1:24" ht="12.75">
      <c r="A279" s="141">
        <v>262</v>
      </c>
      <c r="B279" s="142">
        <v>24</v>
      </c>
      <c r="C279" s="143">
        <f t="shared" si="207"/>
        <v>609.5999999999999</v>
      </c>
      <c r="D279" s="143">
        <v>6.35</v>
      </c>
      <c r="E279" s="144" t="s">
        <v>97</v>
      </c>
      <c r="F279" s="144">
        <f t="shared" si="282"/>
        <v>94.46927563423971</v>
      </c>
      <c r="G279" s="145">
        <f t="shared" si="284"/>
        <v>3</v>
      </c>
      <c r="H279" s="145">
        <f t="shared" si="267"/>
        <v>2</v>
      </c>
      <c r="I279" s="145">
        <f t="shared" si="285"/>
        <v>2</v>
      </c>
      <c r="J279" s="146">
        <f t="shared" si="286"/>
        <v>3.337872397708477</v>
      </c>
      <c r="K279" s="147"/>
      <c r="L279" s="145">
        <f t="shared" si="287"/>
        <v>0</v>
      </c>
      <c r="M279" s="145">
        <f t="shared" si="288"/>
        <v>9</v>
      </c>
      <c r="N279" s="145">
        <f t="shared" si="289"/>
        <v>13.049999999999999</v>
      </c>
      <c r="O279" s="145">
        <f t="shared" si="290"/>
        <v>14.519744930031875</v>
      </c>
      <c r="P279" s="145">
        <f t="shared" si="291"/>
        <v>0</v>
      </c>
      <c r="Q279" s="145">
        <f t="shared" si="292"/>
        <v>29.351489590833907</v>
      </c>
      <c r="R279" s="147">
        <f t="shared" si="293"/>
        <v>56.92123452086578</v>
      </c>
      <c r="S279" s="147"/>
      <c r="T279" s="128">
        <f t="shared" si="294"/>
        <v>0</v>
      </c>
      <c r="U279" s="128">
        <f t="shared" si="295"/>
        <v>0</v>
      </c>
      <c r="V279" s="150">
        <f t="shared" si="296"/>
        <v>0.27785806407197877</v>
      </c>
      <c r="W279" s="150">
        <f t="shared" si="297"/>
        <v>1.6370712941726517</v>
      </c>
      <c r="X279" s="150">
        <f t="shared" si="283"/>
        <v>1.9149293582446305</v>
      </c>
    </row>
    <row r="280" spans="1:24" ht="12.75">
      <c r="A280" s="141">
        <v>263</v>
      </c>
      <c r="B280" s="142">
        <v>24</v>
      </c>
      <c r="C280" s="143">
        <f t="shared" si="207"/>
        <v>609.5999999999999</v>
      </c>
      <c r="D280" s="143">
        <v>9.52</v>
      </c>
      <c r="E280" s="144" t="s">
        <v>92</v>
      </c>
      <c r="F280" s="144">
        <f t="shared" si="282"/>
        <v>140.88528351301846</v>
      </c>
      <c r="G280" s="145">
        <f t="shared" si="284"/>
        <v>3</v>
      </c>
      <c r="H280" s="145">
        <f t="shared" si="267"/>
        <v>2</v>
      </c>
      <c r="I280" s="145">
        <f t="shared" si="285"/>
        <v>2</v>
      </c>
      <c r="J280" s="146">
        <f t="shared" si="286"/>
        <v>5.770298949601782</v>
      </c>
      <c r="K280" s="147"/>
      <c r="L280" s="145">
        <f t="shared" si="287"/>
        <v>0</v>
      </c>
      <c r="M280" s="145">
        <f t="shared" si="288"/>
        <v>9</v>
      </c>
      <c r="N280" s="145">
        <f t="shared" si="289"/>
        <v>22.56</v>
      </c>
      <c r="O280" s="145">
        <f t="shared" si="290"/>
        <v>43.39264810100539</v>
      </c>
      <c r="P280" s="145">
        <f t="shared" si="291"/>
        <v>0</v>
      </c>
      <c r="Q280" s="145">
        <f t="shared" si="292"/>
        <v>39.08119579840712</v>
      </c>
      <c r="R280" s="147">
        <f t="shared" si="293"/>
        <v>105.03384389941252</v>
      </c>
      <c r="S280" s="147"/>
      <c r="T280" s="128">
        <f t="shared" si="294"/>
        <v>0</v>
      </c>
      <c r="U280" s="128">
        <f t="shared" si="295"/>
        <v>0</v>
      </c>
      <c r="V280" s="150">
        <f t="shared" si="296"/>
        <v>0.27492642798241923</v>
      </c>
      <c r="W280" s="150">
        <f t="shared" si="297"/>
        <v>3.0129085515850473</v>
      </c>
      <c r="X280" s="150">
        <f t="shared" si="283"/>
        <v>3.2878349795674664</v>
      </c>
    </row>
    <row r="281" spans="1:24" ht="12.75">
      <c r="A281" s="141">
        <v>264</v>
      </c>
      <c r="B281" s="142">
        <v>24</v>
      </c>
      <c r="C281" s="143">
        <f t="shared" si="207"/>
        <v>609.5999999999999</v>
      </c>
      <c r="D281" s="143">
        <v>9.52</v>
      </c>
      <c r="E281" s="144" t="s">
        <v>86</v>
      </c>
      <c r="F281" s="144">
        <f t="shared" si="282"/>
        <v>140.88528351301846</v>
      </c>
      <c r="G281" s="145">
        <f t="shared" si="284"/>
        <v>3</v>
      </c>
      <c r="H281" s="145">
        <f t="shared" si="267"/>
        <v>2</v>
      </c>
      <c r="I281" s="145">
        <f t="shared" si="285"/>
        <v>2</v>
      </c>
      <c r="J281" s="146">
        <f t="shared" si="286"/>
        <v>5.770298949601782</v>
      </c>
      <c r="K281" s="147"/>
      <c r="L281" s="145">
        <f t="shared" si="287"/>
        <v>0</v>
      </c>
      <c r="M281" s="145">
        <f t="shared" si="288"/>
        <v>9</v>
      </c>
      <c r="N281" s="145">
        <f t="shared" si="289"/>
        <v>22.56</v>
      </c>
      <c r="O281" s="145">
        <f t="shared" si="290"/>
        <v>43.39264810100539</v>
      </c>
      <c r="P281" s="145">
        <f t="shared" si="291"/>
        <v>0</v>
      </c>
      <c r="Q281" s="145">
        <f t="shared" si="292"/>
        <v>39.08119579840712</v>
      </c>
      <c r="R281" s="147">
        <f t="shared" si="293"/>
        <v>105.03384389941252</v>
      </c>
      <c r="S281" s="147"/>
      <c r="T281" s="128">
        <f t="shared" si="294"/>
        <v>0</v>
      </c>
      <c r="U281" s="128">
        <f t="shared" si="295"/>
        <v>0</v>
      </c>
      <c r="V281" s="150">
        <f t="shared" si="296"/>
        <v>0.27492642798241923</v>
      </c>
      <c r="W281" s="150">
        <f t="shared" si="297"/>
        <v>3.0129085515850473</v>
      </c>
      <c r="X281" s="150">
        <f t="shared" si="283"/>
        <v>3.2878349795674664</v>
      </c>
    </row>
    <row r="282" spans="1:24" ht="12.75">
      <c r="A282" s="141">
        <v>265</v>
      </c>
      <c r="B282" s="142">
        <v>24</v>
      </c>
      <c r="C282" s="143">
        <f t="shared" si="207"/>
        <v>609.5999999999999</v>
      </c>
      <c r="D282" s="143">
        <v>12.7</v>
      </c>
      <c r="E282" s="144" t="s">
        <v>82</v>
      </c>
      <c r="F282" s="144">
        <f t="shared" si="282"/>
        <v>186.94972441302173</v>
      </c>
      <c r="G282" s="145">
        <f t="shared" si="284"/>
        <v>3</v>
      </c>
      <c r="H282" s="145">
        <f t="shared" si="267"/>
        <v>2</v>
      </c>
      <c r="I282" s="145">
        <f t="shared" si="285"/>
        <v>2</v>
      </c>
      <c r="J282" s="146">
        <f t="shared" si="286"/>
        <v>8.210398771374875</v>
      </c>
      <c r="K282" s="147"/>
      <c r="L282" s="145">
        <f t="shared" si="287"/>
        <v>0</v>
      </c>
      <c r="M282" s="145">
        <f t="shared" si="288"/>
        <v>9</v>
      </c>
      <c r="N282" s="145">
        <f t="shared" si="289"/>
        <v>32.099999999999994</v>
      </c>
      <c r="O282" s="145">
        <f t="shared" si="290"/>
        <v>87.85126685371115</v>
      </c>
      <c r="P282" s="145">
        <f t="shared" si="291"/>
        <v>0</v>
      </c>
      <c r="Q282" s="145">
        <f t="shared" si="292"/>
        <v>48.8415950854995</v>
      </c>
      <c r="R282" s="147">
        <f t="shared" si="293"/>
        <v>168.79286193921064</v>
      </c>
      <c r="S282" s="147"/>
      <c r="T282" s="128">
        <f t="shared" si="294"/>
        <v>0</v>
      </c>
      <c r="U282" s="128">
        <f t="shared" si="295"/>
        <v>0</v>
      </c>
      <c r="V282" s="150">
        <f t="shared" si="296"/>
        <v>0.27198554382948575</v>
      </c>
      <c r="W282" s="150">
        <f t="shared" si="297"/>
        <v>4.829115505641266</v>
      </c>
      <c r="X282" s="150">
        <f t="shared" si="283"/>
        <v>5.101101049470751</v>
      </c>
    </row>
    <row r="283" spans="1:24" ht="12.75">
      <c r="A283" s="141">
        <v>266</v>
      </c>
      <c r="B283" s="142">
        <v>24</v>
      </c>
      <c r="C283" s="143">
        <f t="shared" si="207"/>
        <v>609.5999999999999</v>
      </c>
      <c r="D283" s="143">
        <v>14.27</v>
      </c>
      <c r="E283" s="144" t="s">
        <v>93</v>
      </c>
      <c r="F283" s="144">
        <f t="shared" si="282"/>
        <v>209.50831824461247</v>
      </c>
      <c r="G283" s="145">
        <f t="shared" si="284"/>
        <v>3</v>
      </c>
      <c r="H283" s="145">
        <f t="shared" si="267"/>
        <v>2</v>
      </c>
      <c r="I283" s="145">
        <f t="shared" si="285"/>
        <v>2</v>
      </c>
      <c r="J283" s="146">
        <f t="shared" si="286"/>
        <v>9.415102142501844</v>
      </c>
      <c r="K283" s="147"/>
      <c r="L283" s="145">
        <f t="shared" si="287"/>
        <v>0</v>
      </c>
      <c r="M283" s="145">
        <f t="shared" si="288"/>
        <v>9</v>
      </c>
      <c r="N283" s="145">
        <f t="shared" si="289"/>
        <v>36.81</v>
      </c>
      <c r="O283" s="145">
        <f t="shared" si="290"/>
        <v>115.52330328849763</v>
      </c>
      <c r="P283" s="145">
        <f t="shared" si="291"/>
        <v>0</v>
      </c>
      <c r="Q283" s="145">
        <f t="shared" si="292"/>
        <v>53.66040857000738</v>
      </c>
      <c r="R283" s="147">
        <f t="shared" si="293"/>
        <v>205.993711858505</v>
      </c>
      <c r="S283" s="147"/>
      <c r="T283" s="128">
        <f t="shared" si="294"/>
        <v>0</v>
      </c>
      <c r="U283" s="128">
        <f t="shared" si="295"/>
        <v>0</v>
      </c>
      <c r="V283" s="150">
        <f t="shared" si="296"/>
        <v>0.27053359787976694</v>
      </c>
      <c r="W283" s="150">
        <f t="shared" si="297"/>
        <v>5.885752163597948</v>
      </c>
      <c r="X283" s="150">
        <f t="shared" si="283"/>
        <v>6.156285761477715</v>
      </c>
    </row>
    <row r="284" spans="1:24" ht="12.75">
      <c r="A284" s="141">
        <v>267</v>
      </c>
      <c r="B284" s="142">
        <v>24</v>
      </c>
      <c r="C284" s="143">
        <f t="shared" si="207"/>
        <v>609.5999999999999</v>
      </c>
      <c r="D284" s="143">
        <v>17.48</v>
      </c>
      <c r="E284" s="144" t="s">
        <v>87</v>
      </c>
      <c r="F284" s="144">
        <f t="shared" si="282"/>
        <v>255.25290192553706</v>
      </c>
      <c r="G284" s="145">
        <f t="shared" si="284"/>
        <v>3</v>
      </c>
      <c r="H284" s="145">
        <f t="shared" si="267"/>
        <v>2</v>
      </c>
      <c r="I284" s="145">
        <f t="shared" si="285"/>
        <v>2</v>
      </c>
      <c r="J284" s="146">
        <f t="shared" si="286"/>
        <v>11.878221773914307</v>
      </c>
      <c r="K284" s="147"/>
      <c r="L284" s="145">
        <f t="shared" si="287"/>
        <v>0</v>
      </c>
      <c r="M284" s="145">
        <f t="shared" si="288"/>
        <v>9</v>
      </c>
      <c r="N284" s="145">
        <f t="shared" si="289"/>
        <v>46.44</v>
      </c>
      <c r="O284" s="145">
        <f t="shared" si="290"/>
        <v>183.87487306019347</v>
      </c>
      <c r="P284" s="145">
        <f t="shared" si="291"/>
        <v>0</v>
      </c>
      <c r="Q284" s="145">
        <f t="shared" si="292"/>
        <v>63.51288709565723</v>
      </c>
      <c r="R284" s="147">
        <f t="shared" si="293"/>
        <v>293.8277601558507</v>
      </c>
      <c r="S284" s="147"/>
      <c r="T284" s="128">
        <f t="shared" si="294"/>
        <v>0</v>
      </c>
      <c r="U284" s="128">
        <f t="shared" si="295"/>
        <v>0</v>
      </c>
      <c r="V284" s="150">
        <f t="shared" si="296"/>
        <v>0.2675649695367113</v>
      </c>
      <c r="W284" s="150">
        <f t="shared" si="297"/>
        <v>8.373023377642712</v>
      </c>
      <c r="X284" s="150">
        <f t="shared" si="283"/>
        <v>8.640588347179422</v>
      </c>
    </row>
    <row r="285" spans="1:24" ht="12.75">
      <c r="A285" s="141">
        <v>268</v>
      </c>
      <c r="B285" s="142">
        <v>24</v>
      </c>
      <c r="C285" s="143">
        <f t="shared" si="207"/>
        <v>609.5999999999999</v>
      </c>
      <c r="D285" s="143">
        <v>24.61</v>
      </c>
      <c r="E285" s="144" t="s">
        <v>94</v>
      </c>
      <c r="F285" s="144">
        <f t="shared" si="282"/>
        <v>355.0418806337249</v>
      </c>
      <c r="G285" s="145">
        <f t="shared" si="284"/>
        <v>3</v>
      </c>
      <c r="H285" s="145">
        <f t="shared" si="267"/>
        <v>2</v>
      </c>
      <c r="I285" s="145">
        <f t="shared" si="285"/>
        <v>3</v>
      </c>
      <c r="J285" s="146">
        <f t="shared" si="286"/>
        <v>13.044558795642326</v>
      </c>
      <c r="K285" s="147"/>
      <c r="L285" s="145">
        <f t="shared" si="287"/>
        <v>0.9891943617744884</v>
      </c>
      <c r="M285" s="145">
        <f t="shared" si="288"/>
        <v>9</v>
      </c>
      <c r="N285" s="145">
        <f t="shared" si="289"/>
        <v>67.83</v>
      </c>
      <c r="O285" s="145">
        <f t="shared" si="290"/>
        <v>221.75749952591954</v>
      </c>
      <c r="P285" s="145">
        <f t="shared" si="291"/>
        <v>151.90933005666176</v>
      </c>
      <c r="Q285" s="145">
        <f t="shared" si="292"/>
        <v>108.2025189445009</v>
      </c>
      <c r="R285" s="147">
        <f t="shared" si="293"/>
        <v>549.6993485270822</v>
      </c>
      <c r="S285" s="147"/>
      <c r="T285" s="128">
        <f t="shared" si="294"/>
        <v>0</v>
      </c>
      <c r="U285" s="128">
        <f t="shared" si="295"/>
        <v>0</v>
      </c>
      <c r="V285" s="150">
        <f t="shared" si="296"/>
        <v>0.26097110035104576</v>
      </c>
      <c r="W285" s="150">
        <f t="shared" si="297"/>
        <v>15.571494163654469</v>
      </c>
      <c r="X285" s="150">
        <f t="shared" si="283"/>
        <v>15.832465264005515</v>
      </c>
    </row>
    <row r="286" spans="1:24" ht="12.75">
      <c r="A286" s="141">
        <v>269</v>
      </c>
      <c r="B286" s="142">
        <v>24</v>
      </c>
      <c r="C286" s="143">
        <f t="shared" si="207"/>
        <v>609.5999999999999</v>
      </c>
      <c r="D286" s="143">
        <v>30.96</v>
      </c>
      <c r="E286" s="144" t="s">
        <v>89</v>
      </c>
      <c r="F286" s="144">
        <f t="shared" si="282"/>
        <v>441.8032776990176</v>
      </c>
      <c r="G286" s="145">
        <f t="shared" si="284"/>
        <v>3</v>
      </c>
      <c r="H286" s="145">
        <f t="shared" si="267"/>
        <v>2</v>
      </c>
      <c r="I286" s="145">
        <f t="shared" si="285"/>
        <v>3</v>
      </c>
      <c r="J286" s="146">
        <f t="shared" si="286"/>
        <v>13.044558795642326</v>
      </c>
      <c r="K286" s="147"/>
      <c r="L286" s="145">
        <f t="shared" si="287"/>
        <v>2.108870689273241</v>
      </c>
      <c r="M286" s="145">
        <f t="shared" si="288"/>
        <v>9</v>
      </c>
      <c r="N286" s="145">
        <f t="shared" si="289"/>
        <v>86.88</v>
      </c>
      <c r="O286" s="145">
        <f t="shared" si="290"/>
        <v>221.75749952591954</v>
      </c>
      <c r="P286" s="145">
        <f t="shared" si="291"/>
        <v>337.24793983547244</v>
      </c>
      <c r="Q286" s="145">
        <f t="shared" si="292"/>
        <v>114.9205769094934</v>
      </c>
      <c r="R286" s="147">
        <f t="shared" si="293"/>
        <v>760.8060162708854</v>
      </c>
      <c r="S286" s="147"/>
      <c r="T286" s="128">
        <f t="shared" si="294"/>
        <v>0</v>
      </c>
      <c r="U286" s="128">
        <f t="shared" si="295"/>
        <v>0</v>
      </c>
      <c r="V286" s="150">
        <f t="shared" si="296"/>
        <v>0.25509858010855263</v>
      </c>
      <c r="W286" s="150">
        <f t="shared" si="297"/>
        <v>21.437014239108233</v>
      </c>
      <c r="X286" s="150">
        <f t="shared" si="283"/>
        <v>21.692112819216785</v>
      </c>
    </row>
    <row r="287" spans="1:24" ht="12.75">
      <c r="A287" s="141">
        <v>270</v>
      </c>
      <c r="B287" s="142">
        <v>24</v>
      </c>
      <c r="C287" s="143">
        <f t="shared" si="207"/>
        <v>609.5999999999999</v>
      </c>
      <c r="D287" s="143">
        <v>38.89</v>
      </c>
      <c r="E287" s="144" t="s">
        <v>95</v>
      </c>
      <c r="F287" s="144">
        <f t="shared" si="282"/>
        <v>547.3598715510844</v>
      </c>
      <c r="G287" s="145">
        <f t="shared" si="284"/>
        <v>3</v>
      </c>
      <c r="H287" s="145">
        <f t="shared" si="267"/>
        <v>2</v>
      </c>
      <c r="I287" s="145">
        <f t="shared" si="285"/>
        <v>3</v>
      </c>
      <c r="J287" s="146">
        <f t="shared" si="286"/>
        <v>13.044558795642326</v>
      </c>
      <c r="K287" s="147"/>
      <c r="L287" s="145">
        <f t="shared" si="287"/>
        <v>3.5071436462913685</v>
      </c>
      <c r="M287" s="145">
        <f t="shared" si="288"/>
        <v>9</v>
      </c>
      <c r="N287" s="145">
        <f t="shared" si="289"/>
        <v>110.67</v>
      </c>
      <c r="O287" s="145">
        <f t="shared" si="290"/>
        <v>221.75749952591954</v>
      </c>
      <c r="P287" s="145">
        <f t="shared" si="291"/>
        <v>588.669636015387</v>
      </c>
      <c r="Q287" s="145">
        <f t="shared" si="292"/>
        <v>123.31021465160217</v>
      </c>
      <c r="R287" s="147">
        <f t="shared" si="293"/>
        <v>1044.4073501929088</v>
      </c>
      <c r="S287" s="147"/>
      <c r="T287" s="128">
        <f t="shared" si="294"/>
        <v>0</v>
      </c>
      <c r="U287" s="128">
        <f t="shared" si="295"/>
        <v>0</v>
      </c>
      <c r="V287" s="150">
        <f t="shared" si="296"/>
        <v>0.2477648658529667</v>
      </c>
      <c r="W287" s="150">
        <f t="shared" si="297"/>
        <v>29.231573690353844</v>
      </c>
      <c r="X287" s="150">
        <f t="shared" si="283"/>
        <v>29.479338556206812</v>
      </c>
    </row>
    <row r="288" spans="1:24" ht="12.75">
      <c r="A288" s="141">
        <v>271</v>
      </c>
      <c r="B288" s="142">
        <v>24</v>
      </c>
      <c r="C288" s="143">
        <f t="shared" si="207"/>
        <v>609.5999999999999</v>
      </c>
      <c r="D288" s="143">
        <v>46.02</v>
      </c>
      <c r="E288" s="144" t="s">
        <v>91</v>
      </c>
      <c r="F288" s="144">
        <f t="shared" si="282"/>
        <v>639.6195308318004</v>
      </c>
      <c r="G288" s="145">
        <f t="shared" si="284"/>
        <v>3</v>
      </c>
      <c r="H288" s="145">
        <f t="shared" si="267"/>
        <v>2</v>
      </c>
      <c r="I288" s="145">
        <f t="shared" si="285"/>
        <v>3</v>
      </c>
      <c r="J288" s="146">
        <f t="shared" si="286"/>
        <v>13.044558795642326</v>
      </c>
      <c r="K288" s="147"/>
      <c r="L288" s="145">
        <f t="shared" si="287"/>
        <v>4.764355018742724</v>
      </c>
      <c r="M288" s="145">
        <f t="shared" si="288"/>
        <v>9</v>
      </c>
      <c r="N288" s="145">
        <f t="shared" si="289"/>
        <v>132.06</v>
      </c>
      <c r="O288" s="145">
        <f t="shared" si="290"/>
        <v>221.75749952591954</v>
      </c>
      <c r="P288" s="145">
        <f t="shared" si="291"/>
        <v>833.6608299229397</v>
      </c>
      <c r="Q288" s="145">
        <f t="shared" si="292"/>
        <v>130.8534828863103</v>
      </c>
      <c r="R288" s="147">
        <f t="shared" si="293"/>
        <v>1318.3318123351696</v>
      </c>
      <c r="S288" s="147"/>
      <c r="T288" s="128">
        <f t="shared" si="294"/>
        <v>0</v>
      </c>
      <c r="U288" s="128">
        <f t="shared" si="295"/>
        <v>0</v>
      </c>
      <c r="V288" s="150">
        <f t="shared" si="296"/>
        <v>0.24117099666730113</v>
      </c>
      <c r="W288" s="150">
        <f t="shared" si="297"/>
        <v>36.67546026930696</v>
      </c>
      <c r="X288" s="150">
        <f t="shared" si="283"/>
        <v>36.91663126597426</v>
      </c>
    </row>
    <row r="289" spans="1:24" ht="12.75">
      <c r="A289" s="141">
        <v>272</v>
      </c>
      <c r="B289" s="142">
        <v>24</v>
      </c>
      <c r="C289" s="143">
        <f t="shared" si="207"/>
        <v>609.5999999999999</v>
      </c>
      <c r="D289" s="143">
        <v>52.39</v>
      </c>
      <c r="E289" s="144" t="s">
        <v>96</v>
      </c>
      <c r="F289" s="144">
        <f t="shared" si="282"/>
        <v>719.9242950395973</v>
      </c>
      <c r="G289" s="145">
        <f t="shared" si="284"/>
        <v>3</v>
      </c>
      <c r="H289" s="145">
        <f t="shared" si="267"/>
        <v>2</v>
      </c>
      <c r="I289" s="145">
        <f t="shared" si="285"/>
        <v>3</v>
      </c>
      <c r="J289" s="146">
        <f t="shared" si="286"/>
        <v>13.044558795642326</v>
      </c>
      <c r="K289" s="147"/>
      <c r="L289" s="145">
        <f t="shared" si="287"/>
        <v>5.887557885855646</v>
      </c>
      <c r="M289" s="145">
        <f t="shared" si="288"/>
        <v>9</v>
      </c>
      <c r="N289" s="145">
        <f t="shared" si="289"/>
        <v>151.17000000000002</v>
      </c>
      <c r="O289" s="145">
        <f t="shared" si="290"/>
        <v>221.75749952591954</v>
      </c>
      <c r="P289" s="145">
        <f t="shared" si="291"/>
        <v>1067.7011941817145</v>
      </c>
      <c r="Q289" s="145">
        <f t="shared" si="292"/>
        <v>137.59270008898784</v>
      </c>
      <c r="R289" s="147">
        <f t="shared" si="293"/>
        <v>1578.221393796622</v>
      </c>
      <c r="S289" s="147"/>
      <c r="T289" s="128">
        <f t="shared" si="294"/>
        <v>0</v>
      </c>
      <c r="U289" s="128">
        <f t="shared" si="295"/>
        <v>0</v>
      </c>
      <c r="V289" s="150">
        <f t="shared" si="296"/>
        <v>0.23527998029806002</v>
      </c>
      <c r="W289" s="150">
        <f t="shared" si="297"/>
        <v>43.66709076878359</v>
      </c>
      <c r="X289" s="150">
        <f t="shared" si="283"/>
        <v>43.90237074908165</v>
      </c>
    </row>
    <row r="290" spans="1:24" ht="12.75">
      <c r="A290" s="141">
        <v>273</v>
      </c>
      <c r="B290" s="142">
        <v>24</v>
      </c>
      <c r="C290" s="143">
        <f t="shared" si="207"/>
        <v>609.5999999999999</v>
      </c>
      <c r="D290" s="143">
        <v>59.54</v>
      </c>
      <c r="E290" s="144" t="s">
        <v>90</v>
      </c>
      <c r="F290" s="144">
        <f t="shared" si="282"/>
        <v>807.6783175736998</v>
      </c>
      <c r="G290" s="145">
        <f t="shared" si="284"/>
        <v>3</v>
      </c>
      <c r="H290" s="145">
        <f t="shared" si="267"/>
        <v>2</v>
      </c>
      <c r="I290" s="145">
        <f t="shared" si="285"/>
        <v>3</v>
      </c>
      <c r="J290" s="146">
        <f t="shared" si="286"/>
        <v>13.044558795642326</v>
      </c>
      <c r="K290" s="147"/>
      <c r="L290" s="145">
        <f t="shared" si="287"/>
        <v>7.14829579792117</v>
      </c>
      <c r="M290" s="145">
        <f t="shared" si="288"/>
        <v>9</v>
      </c>
      <c r="N290" s="145">
        <f t="shared" si="289"/>
        <v>172.62</v>
      </c>
      <c r="O290" s="145">
        <f t="shared" si="290"/>
        <v>221.75749952591954</v>
      </c>
      <c r="P290" s="145">
        <f t="shared" si="291"/>
        <v>1347.444738798404</v>
      </c>
      <c r="Q290" s="145">
        <f t="shared" si="292"/>
        <v>145.15712756138097</v>
      </c>
      <c r="R290" s="147">
        <f t="shared" si="293"/>
        <v>1886.9793658857045</v>
      </c>
      <c r="S290" s="147"/>
      <c r="T290" s="128">
        <f t="shared" si="294"/>
        <v>0</v>
      </c>
      <c r="U290" s="128">
        <f t="shared" si="295"/>
        <v>0</v>
      </c>
      <c r="V290" s="150">
        <f t="shared" si="296"/>
        <v>0.2286676149856465</v>
      </c>
      <c r="W290" s="150">
        <f t="shared" si="297"/>
        <v>51.890041577733314</v>
      </c>
      <c r="X290" s="150">
        <f t="shared" si="283"/>
        <v>52.11870919271896</v>
      </c>
    </row>
    <row r="291" spans="1:24" ht="12.75">
      <c r="A291" s="141">
        <v>274</v>
      </c>
      <c r="B291" s="142"/>
      <c r="C291" s="143"/>
      <c r="D291" s="143"/>
      <c r="E291" s="144"/>
      <c r="F291" s="144">
        <f t="shared" si="282"/>
        <v>0</v>
      </c>
      <c r="G291" s="145"/>
      <c r="H291" s="145">
        <f t="shared" si="267"/>
        <v>0</v>
      </c>
      <c r="I291" s="145"/>
      <c r="J291" s="146"/>
      <c r="K291" s="147"/>
      <c r="L291" s="145"/>
      <c r="M291" s="145"/>
      <c r="N291" s="145"/>
      <c r="O291" s="145"/>
      <c r="P291" s="145"/>
      <c r="Q291" s="145"/>
      <c r="R291" s="147"/>
      <c r="S291" s="147"/>
      <c r="T291" s="128"/>
      <c r="U291" s="128"/>
      <c r="V291" s="150"/>
      <c r="W291" s="150"/>
      <c r="X291" s="150">
        <f t="shared" si="283"/>
        <v>0</v>
      </c>
    </row>
    <row r="292" spans="1:24" ht="12.75">
      <c r="A292" s="141">
        <v>275</v>
      </c>
      <c r="B292" s="142">
        <v>26</v>
      </c>
      <c r="C292" s="143">
        <f t="shared" si="207"/>
        <v>660.4</v>
      </c>
      <c r="D292" s="143">
        <v>7.92</v>
      </c>
      <c r="E292" s="144" t="s">
        <v>97</v>
      </c>
      <c r="F292" s="144">
        <f t="shared" si="282"/>
        <v>127.4418053625183</v>
      </c>
      <c r="G292" s="145">
        <f>IF($D$6=1,2,3)</f>
        <v>3</v>
      </c>
      <c r="H292" s="145">
        <f t="shared" si="267"/>
        <v>2</v>
      </c>
      <c r="I292" s="145">
        <f>IF(D292&lt;=19,2,3)</f>
        <v>2</v>
      </c>
      <c r="J292" s="146">
        <f>IF(D292&lt;=19,(D292-H292)*TAN($C$8*PI()/180),(19-H292)*TAN($C$8*PI()/180))</f>
        <v>4.542575768835445</v>
      </c>
      <c r="K292" s="147"/>
      <c r="L292" s="145">
        <f>IF(D292&lt;=19,0,(D292-19)*TAN($C$10*PI()/180))</f>
        <v>0</v>
      </c>
      <c r="M292" s="145">
        <f>+G292*(H292*1.5)</f>
        <v>9</v>
      </c>
      <c r="N292" s="145">
        <f>+G292*(D292-H292)</f>
        <v>17.759999999999998</v>
      </c>
      <c r="O292" s="145">
        <f>IF(D292&lt;=19,(D292-H292)*J292,(19-H292)*J292)</f>
        <v>26.892048551505837</v>
      </c>
      <c r="P292" s="145">
        <f>IF(D292&lt;=19,0,(J292*(D292-19)*2)+((L292)*(D292-19)))</f>
        <v>0</v>
      </c>
      <c r="Q292" s="145">
        <f>+(5+G292+(2*(J292+L292)))*I292</f>
        <v>34.17030307534178</v>
      </c>
      <c r="R292" s="147">
        <f>SUM(N292:Q292)</f>
        <v>78.82235162684762</v>
      </c>
      <c r="S292" s="147"/>
      <c r="T292" s="128">
        <f>IF(D$6=1,(PI()*(C292-(2*D292)+(2*H292))*M292*0.1*0.01*7.85*0.001/(T$16*T$17)),0)</f>
        <v>0</v>
      </c>
      <c r="U292" s="128">
        <f>IF(D$6=1,(PI()*(C292-(0.5*D292))*(R292)*0.1*0.01*7.85*0.001/(U$16*U$17)),0)</f>
        <v>0</v>
      </c>
      <c r="V292" s="150">
        <f>IF(D$6=1,0,(PI()*(C292-(2*D292)+(2*H292))*M292*0.1*0.01*7.85*0.001/(V$16*V$17)))</f>
        <v>0.29989619909223264</v>
      </c>
      <c r="W292" s="150">
        <f>IF(D$6=1,0,(PI()*(C292-(0.5*D292))*(R292)*0.1*0.01*7.85*0.001/(W$16*W$17)))</f>
        <v>2.4539211869782083</v>
      </c>
      <c r="X292" s="150">
        <f t="shared" si="283"/>
        <v>2.753817386070441</v>
      </c>
    </row>
    <row r="293" spans="1:24" ht="12.75">
      <c r="A293" s="141">
        <v>276</v>
      </c>
      <c r="B293" s="142">
        <v>26</v>
      </c>
      <c r="C293" s="143">
        <f t="shared" si="207"/>
        <v>660.4</v>
      </c>
      <c r="D293" s="143">
        <v>9.52</v>
      </c>
      <c r="E293" s="144" t="s">
        <v>86</v>
      </c>
      <c r="F293" s="144">
        <f t="shared" si="282"/>
        <v>152.81198062417255</v>
      </c>
      <c r="G293" s="145">
        <f>IF($D$6=1,2,3)</f>
        <v>3</v>
      </c>
      <c r="H293" s="145">
        <f t="shared" si="267"/>
        <v>2</v>
      </c>
      <c r="I293" s="145">
        <f>IF(D293&lt;=19,2,3)</f>
        <v>2</v>
      </c>
      <c r="J293" s="146">
        <f>IF(D293&lt;=19,(D293-H293)*TAN($C$8*PI()/180),(19-H293)*TAN($C$8*PI()/180))</f>
        <v>5.770298949601782</v>
      </c>
      <c r="K293" s="147"/>
      <c r="L293" s="145">
        <f>IF(D293&lt;=19,0,(D293-19)*TAN($C$10*PI()/180))</f>
        <v>0</v>
      </c>
      <c r="M293" s="145">
        <f>+G293*(H293*1.5)</f>
        <v>9</v>
      </c>
      <c r="N293" s="145">
        <f>+G293*(D293-H293)</f>
        <v>22.56</v>
      </c>
      <c r="O293" s="145">
        <f>IF(D293&lt;=19,(D293-H293)*J293,(19-H293)*J293)</f>
        <v>43.39264810100539</v>
      </c>
      <c r="P293" s="145">
        <f>IF(D293&lt;=19,0,(J293*(D293-19)*2)+((L293)*(D293-19)))</f>
        <v>0</v>
      </c>
      <c r="Q293" s="145">
        <f>+(5+G293+(2*(J293+L293)))*I293</f>
        <v>39.08119579840712</v>
      </c>
      <c r="R293" s="147">
        <f>SUM(N293:Q293)</f>
        <v>105.03384389941252</v>
      </c>
      <c r="S293" s="147"/>
      <c r="T293" s="128">
        <f>IF(D$6=1,(PI()*(C293-(2*D293)+(2*H293))*M293*0.1*0.01*7.85*0.001/(T$16*T$17)),0)</f>
        <v>0</v>
      </c>
      <c r="U293" s="128">
        <f>IF(D$6=1,(PI()*(C293-(0.5*D293))*(R293)*0.1*0.01*7.85*0.001/(U$16*U$17)),0)</f>
        <v>0</v>
      </c>
      <c r="V293" s="150">
        <f>IF(D$6=1,0,(PI()*(C293-(2*D293)+(2*H293))*M293*0.1*0.01*7.85*0.001/(V$16*V$17)))</f>
        <v>0.29841650895239186</v>
      </c>
      <c r="W293" s="150">
        <f>IF(D$6=1,0,(PI()*(C293-(0.5*D293))*(R293)*0.1*0.01*7.85*0.001/(W$16*W$17)))</f>
        <v>3.2659601923834747</v>
      </c>
      <c r="X293" s="150">
        <f t="shared" si="283"/>
        <v>3.5643767013358665</v>
      </c>
    </row>
    <row r="294" spans="1:24" ht="12.75">
      <c r="A294" s="141">
        <v>277</v>
      </c>
      <c r="B294" s="142">
        <v>26</v>
      </c>
      <c r="C294" s="143">
        <f t="shared" si="207"/>
        <v>660.4</v>
      </c>
      <c r="D294" s="143">
        <v>12.7</v>
      </c>
      <c r="E294" s="144" t="s">
        <v>92</v>
      </c>
      <c r="F294" s="144">
        <f t="shared" si="282"/>
        <v>202.86033925668318</v>
      </c>
      <c r="G294" s="145">
        <f>IF($D$6=1,2,3)</f>
        <v>3</v>
      </c>
      <c r="H294" s="145">
        <f t="shared" si="267"/>
        <v>2</v>
      </c>
      <c r="I294" s="145">
        <f>IF(D294&lt;=19,2,3)</f>
        <v>2</v>
      </c>
      <c r="J294" s="146">
        <f>IF(D294&lt;=19,(D294-H294)*TAN($C$8*PI()/180),(19-H294)*TAN($C$8*PI()/180))</f>
        <v>8.210398771374875</v>
      </c>
      <c r="K294" s="147"/>
      <c r="L294" s="145">
        <f>IF(D294&lt;=19,0,(D294-19)*TAN($C$10*PI()/180))</f>
        <v>0</v>
      </c>
      <c r="M294" s="145">
        <f>+G294*(H294*1.5)</f>
        <v>9</v>
      </c>
      <c r="N294" s="145">
        <f>+G294*(D294-H294)</f>
        <v>32.099999999999994</v>
      </c>
      <c r="O294" s="145">
        <f>IF(D294&lt;=19,(D294-H294)*J294,(19-H294)*J294)</f>
        <v>87.85126685371115</v>
      </c>
      <c r="P294" s="145">
        <f>IF(D294&lt;=19,0,(J294*(D294-19)*2)+((L294)*(D294-19)))</f>
        <v>0</v>
      </c>
      <c r="Q294" s="145">
        <f>+(5+G294+(2*(J294+L294)))*I294</f>
        <v>48.8415950854995</v>
      </c>
      <c r="R294" s="147">
        <f>SUM(N294:Q294)</f>
        <v>168.79286193921064</v>
      </c>
      <c r="S294" s="147"/>
      <c r="T294" s="128">
        <f>IF(D$6=1,(PI()*(C294-(2*D294)+(2*H294))*M294*0.1*0.01*7.85*0.001/(T$16*T$17)),0)</f>
        <v>0</v>
      </c>
      <c r="U294" s="128">
        <f>IF(D$6=1,(PI()*(C294-(0.5*D294))*(R294)*0.1*0.01*7.85*0.001/(U$16*U$17)),0)</f>
        <v>0</v>
      </c>
      <c r="V294" s="150">
        <f>IF(D$6=1,0,(PI()*(C294-(2*D294)+(2*H294))*M294*0.1*0.01*7.85*0.001/(V$16*V$17)))</f>
        <v>0.2954756247994583</v>
      </c>
      <c r="W294" s="150">
        <f>IF(D$6=1,0,(PI()*(C294-(0.5*D294))*(R294)*0.1*0.01*7.85*0.001/(W$16*W$17)))</f>
        <v>5.235777864011056</v>
      </c>
      <c r="X294" s="150">
        <f t="shared" si="283"/>
        <v>5.531253488810514</v>
      </c>
    </row>
    <row r="295" spans="1:24" ht="12.75">
      <c r="A295" s="141">
        <v>278</v>
      </c>
      <c r="B295" s="142">
        <v>26</v>
      </c>
      <c r="C295" s="143">
        <f t="shared" si="207"/>
        <v>660.4</v>
      </c>
      <c r="D295" s="143">
        <v>12.7</v>
      </c>
      <c r="E295" s="144" t="s">
        <v>82</v>
      </c>
      <c r="F295" s="144">
        <f t="shared" si="282"/>
        <v>202.86033925668318</v>
      </c>
      <c r="G295" s="145">
        <f>IF($D$6=1,2,3)</f>
        <v>3</v>
      </c>
      <c r="H295" s="145">
        <f t="shared" si="267"/>
        <v>2</v>
      </c>
      <c r="I295" s="145">
        <f>IF(D295&lt;=19,2,3)</f>
        <v>2</v>
      </c>
      <c r="J295" s="146">
        <f>IF(D295&lt;=19,(D295-H295)*TAN($C$8*PI()/180),(19-H295)*TAN($C$8*PI()/180))</f>
        <v>8.210398771374875</v>
      </c>
      <c r="K295" s="147"/>
      <c r="L295" s="145">
        <f>IF(D295&lt;=19,0,(D295-19)*TAN($C$10*PI()/180))</f>
        <v>0</v>
      </c>
      <c r="M295" s="145">
        <f>+G295*(H295*1.5)</f>
        <v>9</v>
      </c>
      <c r="N295" s="145">
        <f>+G295*(D295-H295)</f>
        <v>32.099999999999994</v>
      </c>
      <c r="O295" s="145">
        <f>IF(D295&lt;=19,(D295-H295)*J295,(19-H295)*J295)</f>
        <v>87.85126685371115</v>
      </c>
      <c r="P295" s="145">
        <f>IF(D295&lt;=19,0,(J295*(D295-19)*2)+((L295)*(D295-19)))</f>
        <v>0</v>
      </c>
      <c r="Q295" s="145">
        <f>+(5+G295+(2*(J295+L295)))*I295</f>
        <v>48.8415950854995</v>
      </c>
      <c r="R295" s="147">
        <f>SUM(N295:Q295)</f>
        <v>168.79286193921064</v>
      </c>
      <c r="S295" s="147"/>
      <c r="T295" s="128">
        <f>IF(D$6=1,(PI()*(C295-(2*D295)+(2*H295))*M295*0.1*0.01*7.85*0.001/(T$16*T$17)),0)</f>
        <v>0</v>
      </c>
      <c r="U295" s="128">
        <f>IF(D$6=1,(PI()*(C295-(0.5*D295))*(R295)*0.1*0.01*7.85*0.001/(U$16*U$17)),0)</f>
        <v>0</v>
      </c>
      <c r="V295" s="150">
        <f>IF(D$6=1,0,(PI()*(C295-(2*D295)+(2*H295))*M295*0.1*0.01*7.85*0.001/(V$16*V$17)))</f>
        <v>0.2954756247994583</v>
      </c>
      <c r="W295" s="150">
        <f>IF(D$6=1,0,(PI()*(C295-(0.5*D295))*(R295)*0.1*0.01*7.85*0.001/(W$16*W$17)))</f>
        <v>5.235777864011056</v>
      </c>
      <c r="X295" s="150">
        <f t="shared" si="283"/>
        <v>5.531253488810514</v>
      </c>
    </row>
    <row r="296" spans="1:24" ht="12.75">
      <c r="A296" s="141">
        <v>279</v>
      </c>
      <c r="B296" s="142"/>
      <c r="C296" s="143"/>
      <c r="D296" s="143"/>
      <c r="E296" s="144"/>
      <c r="F296" s="144">
        <f t="shared" si="282"/>
        <v>0</v>
      </c>
      <c r="G296" s="145"/>
      <c r="H296" s="145">
        <f t="shared" si="267"/>
        <v>0</v>
      </c>
      <c r="I296" s="145"/>
      <c r="J296" s="146"/>
      <c r="K296" s="147"/>
      <c r="L296" s="145"/>
      <c r="M296" s="145"/>
      <c r="N296" s="145"/>
      <c r="O296" s="145"/>
      <c r="P296" s="145"/>
      <c r="Q296" s="145"/>
      <c r="R296" s="147"/>
      <c r="S296" s="147"/>
      <c r="T296" s="128"/>
      <c r="U296" s="128"/>
      <c r="V296" s="150"/>
      <c r="W296" s="150"/>
      <c r="X296" s="150">
        <f t="shared" si="283"/>
        <v>0</v>
      </c>
    </row>
    <row r="297" spans="1:24" ht="12.75">
      <c r="A297" s="141">
        <v>280</v>
      </c>
      <c r="B297" s="142">
        <v>28</v>
      </c>
      <c r="C297" s="143">
        <f t="shared" si="207"/>
        <v>711.1999999999999</v>
      </c>
      <c r="D297" s="143">
        <v>7.92</v>
      </c>
      <c r="E297" s="144" t="s">
        <v>97</v>
      </c>
      <c r="F297" s="144">
        <f t="shared" si="282"/>
        <v>137.3640155642347</v>
      </c>
      <c r="G297" s="145">
        <f>IF($D$6=1,2,3)</f>
        <v>3</v>
      </c>
      <c r="H297" s="145">
        <f t="shared" si="267"/>
        <v>2</v>
      </c>
      <c r="I297" s="145">
        <f>IF(D297&lt;=19,2,3)</f>
        <v>2</v>
      </c>
      <c r="J297" s="146">
        <f>IF(D297&lt;=19,(D297-H297)*TAN($C$8*PI()/180),(19-H297)*TAN($C$8*PI()/180))</f>
        <v>4.542575768835445</v>
      </c>
      <c r="K297" s="147"/>
      <c r="L297" s="145">
        <f>IF(D297&lt;=19,0,(D297-19)*TAN($C$10*PI()/180))</f>
        <v>0</v>
      </c>
      <c r="M297" s="145">
        <f>+G297*(H297*1.5)</f>
        <v>9</v>
      </c>
      <c r="N297" s="145">
        <f>+G297*(D297-H297)</f>
        <v>17.759999999999998</v>
      </c>
      <c r="O297" s="145">
        <f>IF(D297&lt;=19,(D297-H297)*J297,(19-H297)*J297)</f>
        <v>26.892048551505837</v>
      </c>
      <c r="P297" s="145">
        <f>IF(D297&lt;=19,0,(J297*(D297-19)*2)+((L297)*(D297-19)))</f>
        <v>0</v>
      </c>
      <c r="Q297" s="145">
        <f>+(5+G297+(2*(J297+L297)))*I297</f>
        <v>34.17030307534178</v>
      </c>
      <c r="R297" s="147">
        <f>SUM(N297:Q297)</f>
        <v>78.82235162684762</v>
      </c>
      <c r="S297" s="147"/>
      <c r="T297" s="128">
        <f>IF(D$6=1,(PI()*(C297-(2*D297)+(2*H297))*M297*0.1*0.01*7.85*0.001/(T$16*T$17)),0)</f>
        <v>0</v>
      </c>
      <c r="U297" s="128">
        <f>IF(D$6=1,(PI()*(C297-(0.5*D297))*(R297)*0.1*0.01*7.85*0.001/(U$16*U$17)),0)</f>
        <v>0</v>
      </c>
      <c r="V297" s="150">
        <f>IF(D$6=1,0,(PI()*(C297-(2*D297)+(2*H297))*M297*0.1*0.01*7.85*0.001/(V$16*V$17)))</f>
        <v>0.3233862800622052</v>
      </c>
      <c r="W297" s="150">
        <f>IF(D$6=1,0,(PI()*(C297-(0.5*D297))*(R297)*0.1*0.01*7.85*0.001/(W$16*W$17)))</f>
        <v>2.643823076409829</v>
      </c>
      <c r="X297" s="150">
        <f t="shared" si="283"/>
        <v>2.967209356472034</v>
      </c>
    </row>
    <row r="298" spans="1:24" ht="12.75">
      <c r="A298" s="141">
        <v>281</v>
      </c>
      <c r="B298" s="142">
        <v>28</v>
      </c>
      <c r="C298" s="143">
        <f t="shared" si="207"/>
        <v>711.1999999999999</v>
      </c>
      <c r="D298" s="143">
        <v>9.52</v>
      </c>
      <c r="E298" s="144" t="s">
        <v>86</v>
      </c>
      <c r="F298" s="144">
        <f t="shared" si="282"/>
        <v>164.73867773532663</v>
      </c>
      <c r="G298" s="145">
        <f>IF($D$6=1,2,3)</f>
        <v>3</v>
      </c>
      <c r="H298" s="145">
        <f t="shared" si="267"/>
        <v>2</v>
      </c>
      <c r="I298" s="145">
        <f>IF(D298&lt;=19,2,3)</f>
        <v>2</v>
      </c>
      <c r="J298" s="146">
        <f>IF(D298&lt;=19,(D298-H298)*TAN($C$8*PI()/180),(19-H298)*TAN($C$8*PI()/180))</f>
        <v>5.770298949601782</v>
      </c>
      <c r="K298" s="147"/>
      <c r="L298" s="145">
        <f>IF(D298&lt;=19,0,(D298-19)*TAN($C$10*PI()/180))</f>
        <v>0</v>
      </c>
      <c r="M298" s="145">
        <f>+G298*(H298*1.5)</f>
        <v>9</v>
      </c>
      <c r="N298" s="145">
        <f>+G298*(D298-H298)</f>
        <v>22.56</v>
      </c>
      <c r="O298" s="145">
        <f>IF(D298&lt;=19,(D298-H298)*J298,(19-H298)*J298)</f>
        <v>43.39264810100539</v>
      </c>
      <c r="P298" s="145">
        <f>IF(D298&lt;=19,0,(J298*(D298-19)*2)+((L298)*(D298-19)))</f>
        <v>0</v>
      </c>
      <c r="Q298" s="145">
        <f>+(5+G298+(2*(J298+L298)))*I298</f>
        <v>39.08119579840712</v>
      </c>
      <c r="R298" s="147">
        <f>SUM(N298:Q298)</f>
        <v>105.03384389941252</v>
      </c>
      <c r="S298" s="147"/>
      <c r="T298" s="128">
        <f>IF(D$6=1,(PI()*(C298-(2*D298)+(2*H298))*M298*0.1*0.01*7.85*0.001/(T$16*T$17)),0)</f>
        <v>0</v>
      </c>
      <c r="U298" s="128">
        <f>IF(D$6=1,(PI()*(C298-(0.5*D298))*(R298)*0.1*0.01*7.85*0.001/(U$16*U$17)),0)</f>
        <v>0</v>
      </c>
      <c r="V298" s="150">
        <f>IF(D$6=1,0,(PI()*(C298-(2*D298)+(2*H298))*M298*0.1*0.01*7.85*0.001/(V$16*V$17)))</f>
        <v>0.32190658992236443</v>
      </c>
      <c r="W298" s="150">
        <f>IF(D$6=1,0,(PI()*(C298-(0.5*D298))*(R298)*0.1*0.01*7.85*0.001/(W$16*W$17)))</f>
        <v>3.5190118331819007</v>
      </c>
      <c r="X298" s="150">
        <f t="shared" si="283"/>
        <v>3.8409184231042652</v>
      </c>
    </row>
    <row r="299" spans="1:24" ht="12.75">
      <c r="A299" s="141">
        <v>282</v>
      </c>
      <c r="B299" s="142">
        <v>28</v>
      </c>
      <c r="C299" s="143">
        <f t="shared" si="207"/>
        <v>711.1999999999999</v>
      </c>
      <c r="D299" s="143">
        <v>12.7</v>
      </c>
      <c r="E299" s="144" t="s">
        <v>92</v>
      </c>
      <c r="F299" s="144">
        <f t="shared" si="282"/>
        <v>218.7709541003446</v>
      </c>
      <c r="G299" s="145">
        <f>IF($D$6=1,2,3)</f>
        <v>3</v>
      </c>
      <c r="H299" s="145">
        <f t="shared" si="267"/>
        <v>2</v>
      </c>
      <c r="I299" s="145">
        <f>IF(D299&lt;=19,2,3)</f>
        <v>2</v>
      </c>
      <c r="J299" s="146">
        <f>IF(D299&lt;=19,(D299-H299)*TAN($C$8*PI()/180),(19-H299)*TAN($C$8*PI()/180))</f>
        <v>8.210398771374875</v>
      </c>
      <c r="K299" s="147"/>
      <c r="L299" s="145">
        <f>IF(D299&lt;=19,0,(D299-19)*TAN($C$10*PI()/180))</f>
        <v>0</v>
      </c>
      <c r="M299" s="145">
        <f>+G299*(H299*1.5)</f>
        <v>9</v>
      </c>
      <c r="N299" s="145">
        <f>+G299*(D299-H299)</f>
        <v>32.099999999999994</v>
      </c>
      <c r="O299" s="145">
        <f>IF(D299&lt;=19,(D299-H299)*J299,(19-H299)*J299)</f>
        <v>87.85126685371115</v>
      </c>
      <c r="P299" s="145">
        <f>IF(D299&lt;=19,0,(J299*(D299-19)*2)+((L299)*(D299-19)))</f>
        <v>0</v>
      </c>
      <c r="Q299" s="145">
        <f>+(5+G299+(2*(J299+L299)))*I299</f>
        <v>48.8415950854995</v>
      </c>
      <c r="R299" s="147">
        <f>SUM(N299:Q299)</f>
        <v>168.79286193921064</v>
      </c>
      <c r="S299" s="147"/>
      <c r="T299" s="128">
        <f>IF(D$6=1,(PI()*(C299-(2*D299)+(2*H299))*M299*0.1*0.01*7.85*0.001/(T$16*T$17)),0)</f>
        <v>0</v>
      </c>
      <c r="U299" s="128">
        <f>IF(D$6=1,(PI()*(C299-(0.5*D299))*(R299)*0.1*0.01*7.85*0.001/(U$16*U$17)),0)</f>
        <v>0</v>
      </c>
      <c r="V299" s="150">
        <f>IF(D$6=1,0,(PI()*(C299-(2*D299)+(2*H299))*M299*0.1*0.01*7.85*0.001/(V$16*V$17)))</f>
        <v>0.31896570576943084</v>
      </c>
      <c r="W299" s="150">
        <f>IF(D$6=1,0,(PI()*(C299-(0.5*D299))*(R299)*0.1*0.01*7.85*0.001/(W$16*W$17)))</f>
        <v>5.642440222380848</v>
      </c>
      <c r="X299" s="150">
        <f t="shared" si="283"/>
        <v>5.9614059281502785</v>
      </c>
    </row>
    <row r="300" spans="1:24" ht="12.75">
      <c r="A300" s="141">
        <v>283</v>
      </c>
      <c r="B300" s="142">
        <v>28</v>
      </c>
      <c r="C300" s="143">
        <f t="shared" si="207"/>
        <v>711.1999999999999</v>
      </c>
      <c r="D300" s="143">
        <v>12.7</v>
      </c>
      <c r="E300" s="144" t="s">
        <v>82</v>
      </c>
      <c r="F300" s="144">
        <f t="shared" si="282"/>
        <v>218.7709541003446</v>
      </c>
      <c r="G300" s="145">
        <f>IF($D$6=1,2,3)</f>
        <v>3</v>
      </c>
      <c r="H300" s="145">
        <f t="shared" si="267"/>
        <v>2</v>
      </c>
      <c r="I300" s="145">
        <f>IF(D300&lt;=19,2,3)</f>
        <v>2</v>
      </c>
      <c r="J300" s="146">
        <f>IF(D300&lt;=19,(D300-H300)*TAN($C$8*PI()/180),(19-H300)*TAN($C$8*PI()/180))</f>
        <v>8.210398771374875</v>
      </c>
      <c r="K300" s="147"/>
      <c r="L300" s="145">
        <f>IF(D300&lt;=19,0,(D300-19)*TAN($C$10*PI()/180))</f>
        <v>0</v>
      </c>
      <c r="M300" s="145">
        <f>+G300*(H300*1.5)</f>
        <v>9</v>
      </c>
      <c r="N300" s="145">
        <f>+G300*(D300-H300)</f>
        <v>32.099999999999994</v>
      </c>
      <c r="O300" s="145">
        <f>IF(D300&lt;=19,(D300-H300)*J300,(19-H300)*J300)</f>
        <v>87.85126685371115</v>
      </c>
      <c r="P300" s="145">
        <f>IF(D300&lt;=19,0,(J300*(D300-19)*2)+((L300)*(D300-19)))</f>
        <v>0</v>
      </c>
      <c r="Q300" s="145">
        <f>+(5+G300+(2*(J300+L300)))*I300</f>
        <v>48.8415950854995</v>
      </c>
      <c r="R300" s="147">
        <f>SUM(N300:Q300)</f>
        <v>168.79286193921064</v>
      </c>
      <c r="S300" s="147"/>
      <c r="T300" s="128">
        <f>IF(D$6=1,(PI()*(C300-(2*D300)+(2*H300))*M300*0.1*0.01*7.85*0.001/(T$16*T$17)),0)</f>
        <v>0</v>
      </c>
      <c r="U300" s="128">
        <f>IF(D$6=1,(PI()*(C300-(0.5*D300))*(R300)*0.1*0.01*7.85*0.001/(U$16*U$17)),0)</f>
        <v>0</v>
      </c>
      <c r="V300" s="150">
        <f>IF(D$6=1,0,(PI()*(C300-(2*D300)+(2*H300))*M300*0.1*0.01*7.85*0.001/(V$16*V$17)))</f>
        <v>0.31896570576943084</v>
      </c>
      <c r="W300" s="150">
        <f>IF(D$6=1,0,(PI()*(C300-(0.5*D300))*(R300)*0.1*0.01*7.85*0.001/(W$16*W$17)))</f>
        <v>5.642440222380848</v>
      </c>
      <c r="X300" s="150">
        <f t="shared" si="283"/>
        <v>5.9614059281502785</v>
      </c>
    </row>
    <row r="301" spans="1:24" ht="12.75">
      <c r="A301" s="141">
        <v>284</v>
      </c>
      <c r="B301" s="142">
        <v>28</v>
      </c>
      <c r="C301" s="143">
        <f t="shared" si="207"/>
        <v>711.1999999999999</v>
      </c>
      <c r="D301" s="143">
        <v>15.88</v>
      </c>
      <c r="E301" s="144" t="s">
        <v>93</v>
      </c>
      <c r="F301" s="144">
        <f t="shared" si="282"/>
        <v>272.30445651302506</v>
      </c>
      <c r="G301" s="145">
        <f>IF($D$6=1,2,3)</f>
        <v>3</v>
      </c>
      <c r="H301" s="145">
        <f aca="true" t="shared" si="298" ref="H301:H332">IF(D301&lt;2,D301,2)</f>
        <v>2</v>
      </c>
      <c r="I301" s="145">
        <f>IF(D301&lt;=19,2,3)</f>
        <v>2</v>
      </c>
      <c r="J301" s="146">
        <f>IF(D301&lt;=19,(D301-H301)*TAN($C$8*PI()/180),(19-H301)*TAN($C$8*PI()/180))</f>
        <v>10.65049859314797</v>
      </c>
      <c r="K301" s="147"/>
      <c r="L301" s="145">
        <f>IF(D301&lt;=19,0,(D301-19)*TAN($C$10*PI()/180))</f>
        <v>0</v>
      </c>
      <c r="M301" s="145">
        <f>+G301*(H301*1.5)</f>
        <v>9</v>
      </c>
      <c r="N301" s="145">
        <f>+G301*(D301-H301)</f>
        <v>41.64</v>
      </c>
      <c r="O301" s="145">
        <f>IF(D301&lt;=19,(D301-H301)*J301,(19-H301)*J301)</f>
        <v>147.82892047289383</v>
      </c>
      <c r="P301" s="145">
        <f>IF(D301&lt;=19,0,(J301*(D301-19)*2)+((L301)*(D301-19)))</f>
        <v>0</v>
      </c>
      <c r="Q301" s="145">
        <f>+(5+G301+(2*(J301+L301)))*I301</f>
        <v>58.60199437259188</v>
      </c>
      <c r="R301" s="147">
        <f>SUM(N301:Q301)</f>
        <v>248.07091484548573</v>
      </c>
      <c r="S301" s="147"/>
      <c r="T301" s="128">
        <f>IF(D$6=1,(PI()*(C301-(2*D301)+(2*H301))*M301*0.1*0.01*7.85*0.001/(T$16*T$17)),0)</f>
        <v>0</v>
      </c>
      <c r="U301" s="128">
        <f>IF(D$6=1,(PI()*(C301-(0.5*D301))*(R301)*0.1*0.01*7.85*0.001/(U$16*U$17)),0)</f>
        <v>0</v>
      </c>
      <c r="V301" s="150">
        <f>IF(D$6=1,0,(PI()*(C301-(2*D301)+(2*H301))*M301*0.1*0.01*7.85*0.001/(V$16*V$17)))</f>
        <v>0.3160248216164973</v>
      </c>
      <c r="W301" s="150">
        <f>IF(D$6=1,0,(PI()*(C301-(0.5*D301))*(R301)*0.1*0.01*7.85*0.001/(W$16*W$17)))</f>
        <v>8.27385585375884</v>
      </c>
      <c r="X301" s="150">
        <f t="shared" si="283"/>
        <v>8.589880675375339</v>
      </c>
    </row>
    <row r="302" spans="1:24" ht="12.75">
      <c r="A302" s="141">
        <v>285</v>
      </c>
      <c r="B302" s="142"/>
      <c r="C302" s="143"/>
      <c r="D302" s="143"/>
      <c r="E302" s="144"/>
      <c r="F302" s="144">
        <f t="shared" si="282"/>
        <v>0</v>
      </c>
      <c r="G302" s="145"/>
      <c r="H302" s="145">
        <f t="shared" si="298"/>
        <v>0</v>
      </c>
      <c r="I302" s="145"/>
      <c r="J302" s="146"/>
      <c r="K302" s="147"/>
      <c r="L302" s="145"/>
      <c r="M302" s="145"/>
      <c r="N302" s="145"/>
      <c r="O302" s="145"/>
      <c r="P302" s="145"/>
      <c r="Q302" s="145"/>
      <c r="R302" s="147"/>
      <c r="S302" s="147"/>
      <c r="T302" s="128"/>
      <c r="U302" s="128"/>
      <c r="V302" s="150"/>
      <c r="W302" s="150"/>
      <c r="X302" s="150">
        <f t="shared" si="283"/>
        <v>0</v>
      </c>
    </row>
    <row r="303" spans="1:24" ht="12.75">
      <c r="A303" s="141">
        <v>286</v>
      </c>
      <c r="B303" s="142">
        <v>30</v>
      </c>
      <c r="C303" s="143">
        <f t="shared" si="207"/>
        <v>762</v>
      </c>
      <c r="D303" s="143">
        <v>6.35</v>
      </c>
      <c r="E303" s="144" t="s">
        <v>81</v>
      </c>
      <c r="F303" s="144">
        <f t="shared" si="282"/>
        <v>118.33519789973185</v>
      </c>
      <c r="G303" s="145">
        <f t="shared" si="1"/>
        <v>3</v>
      </c>
      <c r="H303" s="145">
        <f t="shared" si="298"/>
        <v>2</v>
      </c>
      <c r="I303" s="145">
        <f>IF(D303&lt;=19,2,3)</f>
        <v>2</v>
      </c>
      <c r="J303" s="146">
        <f>IF(D303&lt;=19,(D303-H303)*TAN($C$8*PI()/180),(19-H303)*TAN($C$8*PI()/180))</f>
        <v>3.337872397708477</v>
      </c>
      <c r="K303" s="147"/>
      <c r="L303" s="145">
        <f>IF(D303&lt;=19,0,(D303-19)*TAN($C$10*PI()/180))</f>
        <v>0</v>
      </c>
      <c r="M303" s="145">
        <f>+G303*(H303*1.5)</f>
        <v>9</v>
      </c>
      <c r="N303" s="145">
        <f>+G303*(D303-H303)</f>
        <v>13.049999999999999</v>
      </c>
      <c r="O303" s="145">
        <f>IF(D303&lt;=19,(D303-H303)*J303,(19-H303)*J303)</f>
        <v>14.519744930031875</v>
      </c>
      <c r="P303" s="145">
        <f>IF(D303&lt;=19,0,(J303*(D303-19)*2)+((L303)*(D303-19)))</f>
        <v>0</v>
      </c>
      <c r="Q303" s="145">
        <f>+(5+G303+(2*(J303+L303)))*I303</f>
        <v>29.351489590833907</v>
      </c>
      <c r="R303" s="147">
        <f>SUM(N303:Q303)</f>
        <v>56.92123452086578</v>
      </c>
      <c r="S303" s="147"/>
      <c r="T303" s="128">
        <f>IF(D$6=1,(PI()*(C303-(2*D303)+(2*H303))*M303*0.1*0.01*7.85*0.001/(T$16*T$17)),0)</f>
        <v>0</v>
      </c>
      <c r="U303" s="128">
        <f>IF(D$6=1,(PI()*(C303-(0.5*D303))*(R303)*0.1*0.01*7.85*0.001/(U$16*U$17)),0)</f>
        <v>0</v>
      </c>
      <c r="V303" s="150">
        <f>IF(D$6=1,0,(PI()*(C303-(2*D303)+(2*H303))*M303*0.1*0.01*7.85*0.001/(V$16*V$17)))</f>
        <v>0.3483283069818966</v>
      </c>
      <c r="W303" s="150">
        <f>IF(D$6=1,0,(PI()*(C303-(0.5*D303))*(R303)*0.1*0.01*7.85*0.001/(W$16*W$17)))</f>
        <v>2.048481881189863</v>
      </c>
      <c r="X303" s="150">
        <f t="shared" si="283"/>
        <v>2.39681018817176</v>
      </c>
    </row>
    <row r="304" spans="1:24" ht="12.75">
      <c r="A304" s="141">
        <v>287</v>
      </c>
      <c r="B304" s="142">
        <v>30</v>
      </c>
      <c r="C304" s="143">
        <f t="shared" si="207"/>
        <v>762</v>
      </c>
      <c r="D304" s="143">
        <v>7.92</v>
      </c>
      <c r="E304" s="144" t="s">
        <v>84</v>
      </c>
      <c r="F304" s="144">
        <f t="shared" si="282"/>
        <v>147.28622576595112</v>
      </c>
      <c r="G304" s="145">
        <f aca="true" t="shared" si="299" ref="G304:G309">IF($D$6=1,2,3)</f>
        <v>3</v>
      </c>
      <c r="H304" s="145">
        <f t="shared" si="298"/>
        <v>2</v>
      </c>
      <c r="I304" s="145">
        <f aca="true" t="shared" si="300" ref="I304:I309">IF(D304&lt;=19,2,3)</f>
        <v>2</v>
      </c>
      <c r="J304" s="146">
        <f aca="true" t="shared" si="301" ref="J304:J309">IF(D304&lt;=19,(D304-H304)*TAN($C$8*PI()/180),(19-H304)*TAN($C$8*PI()/180))</f>
        <v>4.542575768835445</v>
      </c>
      <c r="K304" s="147"/>
      <c r="L304" s="145">
        <f aca="true" t="shared" si="302" ref="L304:L309">IF(D304&lt;=19,0,(D304-19)*TAN($C$10*PI()/180))</f>
        <v>0</v>
      </c>
      <c r="M304" s="145">
        <f aca="true" t="shared" si="303" ref="M304:M309">+G304*(H304*1.5)</f>
        <v>9</v>
      </c>
      <c r="N304" s="145">
        <f aca="true" t="shared" si="304" ref="N304:N309">+G304*(D304-H304)</f>
        <v>17.759999999999998</v>
      </c>
      <c r="O304" s="145">
        <f aca="true" t="shared" si="305" ref="O304:O309">IF(D304&lt;=19,(D304-H304)*J304,(19-H304)*J304)</f>
        <v>26.892048551505837</v>
      </c>
      <c r="P304" s="145">
        <f aca="true" t="shared" si="306" ref="P304:P309">IF(D304&lt;=19,0,(J304*(D304-19)*2)+((L304)*(D304-19)))</f>
        <v>0</v>
      </c>
      <c r="Q304" s="145">
        <f aca="true" t="shared" si="307" ref="Q304:Q309">+(5+G304+(2*(J304+L304)))*I304</f>
        <v>34.17030307534178</v>
      </c>
      <c r="R304" s="147">
        <f aca="true" t="shared" si="308" ref="R304:R309">SUM(N304:Q304)</f>
        <v>78.82235162684762</v>
      </c>
      <c r="S304" s="147"/>
      <c r="T304" s="128">
        <f aca="true" t="shared" si="309" ref="T304:T309">IF(D$6=1,(PI()*(C304-(2*D304)+(2*H304))*M304*0.1*0.01*7.85*0.001/(T$16*T$17)),0)</f>
        <v>0</v>
      </c>
      <c r="U304" s="128">
        <f aca="true" t="shared" si="310" ref="U304:U309">IF(D$6=1,(PI()*(C304-(0.5*D304))*(R304)*0.1*0.01*7.85*0.001/(U$16*U$17)),0)</f>
        <v>0</v>
      </c>
      <c r="V304" s="150">
        <f aca="true" t="shared" si="311" ref="V304:V309">IF(D$6=1,0,(PI()*(C304-(2*D304)+(2*H304))*M304*0.1*0.01*7.85*0.001/(V$16*V$17)))</f>
        <v>0.3468763610321778</v>
      </c>
      <c r="W304" s="150">
        <f aca="true" t="shared" si="312" ref="W304:W309">IF(D$6=1,0,(PI()*(C304-(0.5*D304))*(R304)*0.1*0.01*7.85*0.001/(W$16*W$17)))</f>
        <v>2.8337249658414496</v>
      </c>
      <c r="X304" s="150">
        <f t="shared" si="283"/>
        <v>3.1806013268736275</v>
      </c>
    </row>
    <row r="305" spans="1:24" ht="12.75">
      <c r="A305" s="141">
        <v>288</v>
      </c>
      <c r="B305" s="142">
        <v>30</v>
      </c>
      <c r="C305" s="143">
        <f t="shared" si="207"/>
        <v>762</v>
      </c>
      <c r="D305" s="143">
        <v>7.92</v>
      </c>
      <c r="E305" s="144" t="s">
        <v>97</v>
      </c>
      <c r="F305" s="144">
        <f t="shared" si="282"/>
        <v>147.28622576595112</v>
      </c>
      <c r="G305" s="145">
        <f t="shared" si="299"/>
        <v>3</v>
      </c>
      <c r="H305" s="145">
        <f t="shared" si="298"/>
        <v>2</v>
      </c>
      <c r="I305" s="145">
        <f t="shared" si="300"/>
        <v>2</v>
      </c>
      <c r="J305" s="146">
        <f t="shared" si="301"/>
        <v>4.542575768835445</v>
      </c>
      <c r="K305" s="147"/>
      <c r="L305" s="145">
        <f t="shared" si="302"/>
        <v>0</v>
      </c>
      <c r="M305" s="145">
        <f t="shared" si="303"/>
        <v>9</v>
      </c>
      <c r="N305" s="145">
        <f t="shared" si="304"/>
        <v>17.759999999999998</v>
      </c>
      <c r="O305" s="145">
        <f t="shared" si="305"/>
        <v>26.892048551505837</v>
      </c>
      <c r="P305" s="145">
        <f t="shared" si="306"/>
        <v>0</v>
      </c>
      <c r="Q305" s="145">
        <f t="shared" si="307"/>
        <v>34.17030307534178</v>
      </c>
      <c r="R305" s="147">
        <f t="shared" si="308"/>
        <v>78.82235162684762</v>
      </c>
      <c r="S305" s="147"/>
      <c r="T305" s="128">
        <f t="shared" si="309"/>
        <v>0</v>
      </c>
      <c r="U305" s="128">
        <f t="shared" si="310"/>
        <v>0</v>
      </c>
      <c r="V305" s="150">
        <f t="shared" si="311"/>
        <v>0.3468763610321778</v>
      </c>
      <c r="W305" s="150">
        <f t="shared" si="312"/>
        <v>2.8337249658414496</v>
      </c>
      <c r="X305" s="150">
        <f t="shared" si="283"/>
        <v>3.1806013268736275</v>
      </c>
    </row>
    <row r="306" spans="1:24" ht="12.75">
      <c r="A306" s="141">
        <v>289</v>
      </c>
      <c r="B306" s="142">
        <v>30</v>
      </c>
      <c r="C306" s="143">
        <f t="shared" si="207"/>
        <v>762</v>
      </c>
      <c r="D306" s="143">
        <v>9.52</v>
      </c>
      <c r="E306" s="144" t="s">
        <v>86</v>
      </c>
      <c r="F306" s="144">
        <f t="shared" si="282"/>
        <v>176.66537484648072</v>
      </c>
      <c r="G306" s="145">
        <f t="shared" si="299"/>
        <v>3</v>
      </c>
      <c r="H306" s="145">
        <f t="shared" si="298"/>
        <v>2</v>
      </c>
      <c r="I306" s="145">
        <f t="shared" si="300"/>
        <v>2</v>
      </c>
      <c r="J306" s="146">
        <f t="shared" si="301"/>
        <v>5.770298949601782</v>
      </c>
      <c r="K306" s="147"/>
      <c r="L306" s="145">
        <f t="shared" si="302"/>
        <v>0</v>
      </c>
      <c r="M306" s="145">
        <f t="shared" si="303"/>
        <v>9</v>
      </c>
      <c r="N306" s="145">
        <f t="shared" si="304"/>
        <v>22.56</v>
      </c>
      <c r="O306" s="145">
        <f t="shared" si="305"/>
        <v>43.39264810100539</v>
      </c>
      <c r="P306" s="145">
        <f t="shared" si="306"/>
        <v>0</v>
      </c>
      <c r="Q306" s="145">
        <f t="shared" si="307"/>
        <v>39.08119579840712</v>
      </c>
      <c r="R306" s="147">
        <f t="shared" si="308"/>
        <v>105.03384389941252</v>
      </c>
      <c r="S306" s="147"/>
      <c r="T306" s="128">
        <f t="shared" si="309"/>
        <v>0</v>
      </c>
      <c r="U306" s="128">
        <f t="shared" si="310"/>
        <v>0</v>
      </c>
      <c r="V306" s="150">
        <f t="shared" si="311"/>
        <v>0.34539667089233705</v>
      </c>
      <c r="W306" s="150">
        <f t="shared" si="312"/>
        <v>3.772063473980328</v>
      </c>
      <c r="X306" s="150">
        <f t="shared" si="283"/>
        <v>4.117460144872665</v>
      </c>
    </row>
    <row r="307" spans="1:24" ht="12.75">
      <c r="A307" s="141">
        <v>290</v>
      </c>
      <c r="B307" s="142">
        <v>30</v>
      </c>
      <c r="C307" s="143">
        <f t="shared" si="207"/>
        <v>762</v>
      </c>
      <c r="D307" s="143">
        <v>12.7</v>
      </c>
      <c r="E307" s="144" t="s">
        <v>92</v>
      </c>
      <c r="F307" s="144">
        <f t="shared" si="282"/>
        <v>234.68156894400605</v>
      </c>
      <c r="G307" s="145">
        <f t="shared" si="299"/>
        <v>3</v>
      </c>
      <c r="H307" s="145">
        <f t="shared" si="298"/>
        <v>2</v>
      </c>
      <c r="I307" s="145">
        <f t="shared" si="300"/>
        <v>2</v>
      </c>
      <c r="J307" s="146">
        <f t="shared" si="301"/>
        <v>8.210398771374875</v>
      </c>
      <c r="K307" s="147"/>
      <c r="L307" s="145">
        <f t="shared" si="302"/>
        <v>0</v>
      </c>
      <c r="M307" s="145">
        <f t="shared" si="303"/>
        <v>9</v>
      </c>
      <c r="N307" s="145">
        <f t="shared" si="304"/>
        <v>32.099999999999994</v>
      </c>
      <c r="O307" s="145">
        <f t="shared" si="305"/>
        <v>87.85126685371115</v>
      </c>
      <c r="P307" s="145">
        <f t="shared" si="306"/>
        <v>0</v>
      </c>
      <c r="Q307" s="145">
        <f t="shared" si="307"/>
        <v>48.8415950854995</v>
      </c>
      <c r="R307" s="147">
        <f t="shared" si="308"/>
        <v>168.79286193921064</v>
      </c>
      <c r="S307" s="147"/>
      <c r="T307" s="128">
        <f t="shared" si="309"/>
        <v>0</v>
      </c>
      <c r="U307" s="128">
        <f t="shared" si="310"/>
        <v>0</v>
      </c>
      <c r="V307" s="150">
        <f t="shared" si="311"/>
        <v>0.34245578673940347</v>
      </c>
      <c r="W307" s="150">
        <f t="shared" si="312"/>
        <v>6.049102580750639</v>
      </c>
      <c r="X307" s="150">
        <f t="shared" si="283"/>
        <v>6.391558367490043</v>
      </c>
    </row>
    <row r="308" spans="1:24" ht="12.75">
      <c r="A308" s="141">
        <v>291</v>
      </c>
      <c r="B308" s="142">
        <v>30</v>
      </c>
      <c r="C308" s="143">
        <f t="shared" si="207"/>
        <v>762</v>
      </c>
      <c r="D308" s="143">
        <v>12.7</v>
      </c>
      <c r="E308" s="144" t="s">
        <v>82</v>
      </c>
      <c r="F308" s="144">
        <f t="shared" si="282"/>
        <v>234.68156894400605</v>
      </c>
      <c r="G308" s="145">
        <f t="shared" si="299"/>
        <v>3</v>
      </c>
      <c r="H308" s="145">
        <f t="shared" si="298"/>
        <v>2</v>
      </c>
      <c r="I308" s="145">
        <f t="shared" si="300"/>
        <v>2</v>
      </c>
      <c r="J308" s="146">
        <f t="shared" si="301"/>
        <v>8.210398771374875</v>
      </c>
      <c r="K308" s="147"/>
      <c r="L308" s="145">
        <f t="shared" si="302"/>
        <v>0</v>
      </c>
      <c r="M308" s="145">
        <f t="shared" si="303"/>
        <v>9</v>
      </c>
      <c r="N308" s="145">
        <f t="shared" si="304"/>
        <v>32.099999999999994</v>
      </c>
      <c r="O308" s="145">
        <f t="shared" si="305"/>
        <v>87.85126685371115</v>
      </c>
      <c r="P308" s="145">
        <f t="shared" si="306"/>
        <v>0</v>
      </c>
      <c r="Q308" s="145">
        <f t="shared" si="307"/>
        <v>48.8415950854995</v>
      </c>
      <c r="R308" s="147">
        <f t="shared" si="308"/>
        <v>168.79286193921064</v>
      </c>
      <c r="S308" s="147"/>
      <c r="T308" s="128">
        <f t="shared" si="309"/>
        <v>0</v>
      </c>
      <c r="U308" s="128">
        <f t="shared" si="310"/>
        <v>0</v>
      </c>
      <c r="V308" s="150">
        <f t="shared" si="311"/>
        <v>0.34245578673940347</v>
      </c>
      <c r="W308" s="150">
        <f t="shared" si="312"/>
        <v>6.049102580750639</v>
      </c>
      <c r="X308" s="150">
        <f t="shared" si="283"/>
        <v>6.391558367490043</v>
      </c>
    </row>
    <row r="309" spans="1:24" ht="12.75">
      <c r="A309" s="141">
        <v>292</v>
      </c>
      <c r="B309" s="142">
        <v>30</v>
      </c>
      <c r="C309" s="143">
        <f t="shared" si="207"/>
        <v>762</v>
      </c>
      <c r="D309" s="143">
        <v>15.88</v>
      </c>
      <c r="E309" s="144" t="s">
        <v>93</v>
      </c>
      <c r="F309" s="144">
        <f t="shared" si="282"/>
        <v>292.1989890891939</v>
      </c>
      <c r="G309" s="145">
        <f t="shared" si="299"/>
        <v>3</v>
      </c>
      <c r="H309" s="145">
        <f t="shared" si="298"/>
        <v>2</v>
      </c>
      <c r="I309" s="145">
        <f t="shared" si="300"/>
        <v>2</v>
      </c>
      <c r="J309" s="146">
        <f t="shared" si="301"/>
        <v>10.65049859314797</v>
      </c>
      <c r="K309" s="147"/>
      <c r="L309" s="145">
        <f t="shared" si="302"/>
        <v>0</v>
      </c>
      <c r="M309" s="145">
        <f t="shared" si="303"/>
        <v>9</v>
      </c>
      <c r="N309" s="145">
        <f t="shared" si="304"/>
        <v>41.64</v>
      </c>
      <c r="O309" s="145">
        <f t="shared" si="305"/>
        <v>147.82892047289383</v>
      </c>
      <c r="P309" s="145">
        <f t="shared" si="306"/>
        <v>0</v>
      </c>
      <c r="Q309" s="145">
        <f t="shared" si="307"/>
        <v>58.60199437259188</v>
      </c>
      <c r="R309" s="147">
        <f t="shared" si="308"/>
        <v>248.07091484548573</v>
      </c>
      <c r="S309" s="147"/>
      <c r="T309" s="128">
        <f t="shared" si="309"/>
        <v>0</v>
      </c>
      <c r="U309" s="128">
        <f t="shared" si="310"/>
        <v>0</v>
      </c>
      <c r="V309" s="150">
        <f t="shared" si="311"/>
        <v>0.3395149025864698</v>
      </c>
      <c r="W309" s="150">
        <f t="shared" si="312"/>
        <v>8.871517994888652</v>
      </c>
      <c r="X309" s="150">
        <f t="shared" si="283"/>
        <v>9.211032897475121</v>
      </c>
    </row>
    <row r="310" spans="1:24" ht="12.75">
      <c r="A310" s="141">
        <v>293</v>
      </c>
      <c r="B310" s="142"/>
      <c r="C310" s="143"/>
      <c r="D310" s="143"/>
      <c r="E310" s="144"/>
      <c r="F310" s="144">
        <f t="shared" si="282"/>
        <v>0</v>
      </c>
      <c r="G310" s="145"/>
      <c r="H310" s="145">
        <f t="shared" si="298"/>
        <v>0</v>
      </c>
      <c r="I310" s="145"/>
      <c r="J310" s="146"/>
      <c r="K310" s="147"/>
      <c r="L310" s="145"/>
      <c r="M310" s="145"/>
      <c r="N310" s="145"/>
      <c r="O310" s="145"/>
      <c r="P310" s="145"/>
      <c r="Q310" s="145"/>
      <c r="R310" s="147"/>
      <c r="S310" s="147"/>
      <c r="T310" s="128"/>
      <c r="U310" s="128"/>
      <c r="V310" s="150"/>
      <c r="W310" s="150"/>
      <c r="X310" s="150">
        <f t="shared" si="283"/>
        <v>0</v>
      </c>
    </row>
    <row r="311" spans="1:24" ht="12.75">
      <c r="A311" s="141">
        <v>294</v>
      </c>
      <c r="B311" s="142">
        <v>32</v>
      </c>
      <c r="C311" s="143">
        <f t="shared" si="207"/>
        <v>812.8</v>
      </c>
      <c r="D311" s="143">
        <v>7.92</v>
      </c>
      <c r="E311" s="144" t="s">
        <v>97</v>
      </c>
      <c r="F311" s="144">
        <f t="shared" si="282"/>
        <v>157.20843596766753</v>
      </c>
      <c r="G311" s="145">
        <f aca="true" t="shared" si="313" ref="G311:G316">IF($D$6=1,2,3)</f>
        <v>3</v>
      </c>
      <c r="H311" s="145">
        <f t="shared" si="298"/>
        <v>2</v>
      </c>
      <c r="I311" s="145">
        <f aca="true" t="shared" si="314" ref="I311:I316">IF(D311&lt;=19,2,3)</f>
        <v>2</v>
      </c>
      <c r="J311" s="146">
        <f aca="true" t="shared" si="315" ref="J311:J316">IF(D311&lt;=19,(D311-H311)*TAN($C$8*PI()/180),(19-H311)*TAN($C$8*PI()/180))</f>
        <v>4.542575768835445</v>
      </c>
      <c r="K311" s="147"/>
      <c r="L311" s="145">
        <f aca="true" t="shared" si="316" ref="L311:L316">IF(D311&lt;=19,0,(D311-19)*TAN($C$10*PI()/180))</f>
        <v>0</v>
      </c>
      <c r="M311" s="145">
        <f aca="true" t="shared" si="317" ref="M311:M316">+G311*(H311*1.5)</f>
        <v>9</v>
      </c>
      <c r="N311" s="145">
        <f aca="true" t="shared" si="318" ref="N311:N316">+G311*(D311-H311)</f>
        <v>17.759999999999998</v>
      </c>
      <c r="O311" s="145">
        <f aca="true" t="shared" si="319" ref="O311:O316">IF(D311&lt;=19,(D311-H311)*J311,(19-H311)*J311)</f>
        <v>26.892048551505837</v>
      </c>
      <c r="P311" s="145">
        <f aca="true" t="shared" si="320" ref="P311:P316">IF(D311&lt;=19,0,(J311*(D311-19)*2)+((L311)*(D311-19)))</f>
        <v>0</v>
      </c>
      <c r="Q311" s="145">
        <f aca="true" t="shared" si="321" ref="Q311:Q316">+(5+G311+(2*(J311+L311)))*I311</f>
        <v>34.17030307534178</v>
      </c>
      <c r="R311" s="147">
        <f aca="true" t="shared" si="322" ref="R311:R316">SUM(N311:Q311)</f>
        <v>78.82235162684762</v>
      </c>
      <c r="S311" s="147"/>
      <c r="T311" s="128">
        <f aca="true" t="shared" si="323" ref="T311:T316">IF(D$6=1,(PI()*(C311-(2*D311)+(2*H311))*M311*0.1*0.01*7.85*0.001/(T$16*T$17)),0)</f>
        <v>0</v>
      </c>
      <c r="U311" s="128">
        <f aca="true" t="shared" si="324" ref="U311:U316">IF(D$6=1,(PI()*(C311-(0.5*D311))*(R311)*0.1*0.01*7.85*0.001/(U$16*U$17)),0)</f>
        <v>0</v>
      </c>
      <c r="V311" s="150">
        <f aca="true" t="shared" si="325" ref="V311:V316">IF(D$6=1,0,(PI()*(C311-(2*D311)+(2*H311))*M311*0.1*0.01*7.85*0.001/(V$16*V$17)))</f>
        <v>0.3703664420021504</v>
      </c>
      <c r="W311" s="150">
        <f aca="true" t="shared" si="326" ref="W311:W316">IF(D$6=1,0,(PI()*(C311-(0.5*D311))*(R311)*0.1*0.01*7.85*0.001/(W$16*W$17)))</f>
        <v>3.0236268552730703</v>
      </c>
      <c r="X311" s="150">
        <f t="shared" si="283"/>
        <v>3.3939932972752205</v>
      </c>
    </row>
    <row r="312" spans="1:24" ht="12.75">
      <c r="A312" s="141">
        <v>295</v>
      </c>
      <c r="B312" s="142">
        <v>32</v>
      </c>
      <c r="C312" s="143">
        <f t="shared" si="207"/>
        <v>812.8</v>
      </c>
      <c r="D312" s="143">
        <v>9.52</v>
      </c>
      <c r="E312" s="144" t="s">
        <v>86</v>
      </c>
      <c r="F312" s="144">
        <f t="shared" si="282"/>
        <v>188.59207195763477</v>
      </c>
      <c r="G312" s="145">
        <f t="shared" si="313"/>
        <v>3</v>
      </c>
      <c r="H312" s="145">
        <f t="shared" si="298"/>
        <v>2</v>
      </c>
      <c r="I312" s="145">
        <f t="shared" si="314"/>
        <v>2</v>
      </c>
      <c r="J312" s="146">
        <f t="shared" si="315"/>
        <v>5.770298949601782</v>
      </c>
      <c r="K312" s="147"/>
      <c r="L312" s="145">
        <f t="shared" si="316"/>
        <v>0</v>
      </c>
      <c r="M312" s="145">
        <f t="shared" si="317"/>
        <v>9</v>
      </c>
      <c r="N312" s="145">
        <f t="shared" si="318"/>
        <v>22.56</v>
      </c>
      <c r="O312" s="145">
        <f t="shared" si="319"/>
        <v>43.39264810100539</v>
      </c>
      <c r="P312" s="145">
        <f t="shared" si="320"/>
        <v>0</v>
      </c>
      <c r="Q312" s="145">
        <f t="shared" si="321"/>
        <v>39.08119579840712</v>
      </c>
      <c r="R312" s="147">
        <f t="shared" si="322"/>
        <v>105.03384389941252</v>
      </c>
      <c r="S312" s="147"/>
      <c r="T312" s="128">
        <f t="shared" si="323"/>
        <v>0</v>
      </c>
      <c r="U312" s="128">
        <f t="shared" si="324"/>
        <v>0</v>
      </c>
      <c r="V312" s="150">
        <f t="shared" si="325"/>
        <v>0.3688867518623096</v>
      </c>
      <c r="W312" s="150">
        <f t="shared" si="326"/>
        <v>4.025115114778754</v>
      </c>
      <c r="X312" s="150">
        <f t="shared" si="283"/>
        <v>4.394001866641064</v>
      </c>
    </row>
    <row r="313" spans="1:24" ht="12.75">
      <c r="A313" s="141">
        <v>296</v>
      </c>
      <c r="B313" s="142">
        <v>32</v>
      </c>
      <c r="C313" s="143">
        <f t="shared" si="207"/>
        <v>812.8</v>
      </c>
      <c r="D313" s="143">
        <v>12.7</v>
      </c>
      <c r="E313" s="144" t="s">
        <v>92</v>
      </c>
      <c r="F313" s="144">
        <f t="shared" si="282"/>
        <v>250.59218378766744</v>
      </c>
      <c r="G313" s="145">
        <f t="shared" si="313"/>
        <v>3</v>
      </c>
      <c r="H313" s="145">
        <f t="shared" si="298"/>
        <v>2</v>
      </c>
      <c r="I313" s="145">
        <f t="shared" si="314"/>
        <v>2</v>
      </c>
      <c r="J313" s="146">
        <f t="shared" si="315"/>
        <v>8.210398771374875</v>
      </c>
      <c r="K313" s="147"/>
      <c r="L313" s="145">
        <f t="shared" si="316"/>
        <v>0</v>
      </c>
      <c r="M313" s="145">
        <f t="shared" si="317"/>
        <v>9</v>
      </c>
      <c r="N313" s="145">
        <f t="shared" si="318"/>
        <v>32.099999999999994</v>
      </c>
      <c r="O313" s="145">
        <f t="shared" si="319"/>
        <v>87.85126685371115</v>
      </c>
      <c r="P313" s="145">
        <f t="shared" si="320"/>
        <v>0</v>
      </c>
      <c r="Q313" s="145">
        <f t="shared" si="321"/>
        <v>48.8415950854995</v>
      </c>
      <c r="R313" s="147">
        <f t="shared" si="322"/>
        <v>168.79286193921064</v>
      </c>
      <c r="S313" s="147"/>
      <c r="T313" s="128">
        <f t="shared" si="323"/>
        <v>0</v>
      </c>
      <c r="U313" s="128">
        <f t="shared" si="324"/>
        <v>0</v>
      </c>
      <c r="V313" s="150">
        <f t="shared" si="325"/>
        <v>0.365945867709376</v>
      </c>
      <c r="W313" s="150">
        <f t="shared" si="326"/>
        <v>6.455764939120431</v>
      </c>
      <c r="X313" s="150">
        <f t="shared" si="283"/>
        <v>6.821710806829807</v>
      </c>
    </row>
    <row r="314" spans="1:24" ht="12.75">
      <c r="A314" s="141">
        <v>297</v>
      </c>
      <c r="B314" s="142">
        <v>32</v>
      </c>
      <c r="C314" s="143">
        <f t="shared" si="207"/>
        <v>812.8</v>
      </c>
      <c r="D314" s="143">
        <v>12.7</v>
      </c>
      <c r="E314" s="144" t="s">
        <v>82</v>
      </c>
      <c r="F314" s="144">
        <f t="shared" si="282"/>
        <v>250.59218378766744</v>
      </c>
      <c r="G314" s="145">
        <f t="shared" si="313"/>
        <v>3</v>
      </c>
      <c r="H314" s="145">
        <f t="shared" si="298"/>
        <v>2</v>
      </c>
      <c r="I314" s="145">
        <f t="shared" si="314"/>
        <v>2</v>
      </c>
      <c r="J314" s="146">
        <f t="shared" si="315"/>
        <v>8.210398771374875</v>
      </c>
      <c r="K314" s="147"/>
      <c r="L314" s="145">
        <f t="shared" si="316"/>
        <v>0</v>
      </c>
      <c r="M314" s="145">
        <f t="shared" si="317"/>
        <v>9</v>
      </c>
      <c r="N314" s="145">
        <f t="shared" si="318"/>
        <v>32.099999999999994</v>
      </c>
      <c r="O314" s="145">
        <f t="shared" si="319"/>
        <v>87.85126685371115</v>
      </c>
      <c r="P314" s="145">
        <f t="shared" si="320"/>
        <v>0</v>
      </c>
      <c r="Q314" s="145">
        <f t="shared" si="321"/>
        <v>48.8415950854995</v>
      </c>
      <c r="R314" s="147">
        <f t="shared" si="322"/>
        <v>168.79286193921064</v>
      </c>
      <c r="S314" s="147"/>
      <c r="T314" s="128">
        <f t="shared" si="323"/>
        <v>0</v>
      </c>
      <c r="U314" s="128">
        <f t="shared" si="324"/>
        <v>0</v>
      </c>
      <c r="V314" s="150">
        <f t="shared" si="325"/>
        <v>0.365945867709376</v>
      </c>
      <c r="W314" s="150">
        <f t="shared" si="326"/>
        <v>6.455764939120431</v>
      </c>
      <c r="X314" s="150">
        <f t="shared" si="283"/>
        <v>6.821710806829807</v>
      </c>
    </row>
    <row r="315" spans="1:24" ht="12.75">
      <c r="A315" s="141">
        <v>298</v>
      </c>
      <c r="B315" s="142">
        <v>32</v>
      </c>
      <c r="C315" s="143">
        <f t="shared" si="207"/>
        <v>812.8</v>
      </c>
      <c r="D315" s="143">
        <v>15.89</v>
      </c>
      <c r="E315" s="144" t="s">
        <v>93</v>
      </c>
      <c r="F315" s="144">
        <f t="shared" si="282"/>
        <v>312.2861353970159</v>
      </c>
      <c r="G315" s="145">
        <f t="shared" si="313"/>
        <v>3</v>
      </c>
      <c r="H315" s="145">
        <f t="shared" si="298"/>
        <v>2</v>
      </c>
      <c r="I315" s="145">
        <f t="shared" si="314"/>
        <v>2</v>
      </c>
      <c r="J315" s="146">
        <f t="shared" si="315"/>
        <v>10.65817186302776</v>
      </c>
      <c r="K315" s="147"/>
      <c r="L315" s="145">
        <f t="shared" si="316"/>
        <v>0</v>
      </c>
      <c r="M315" s="145">
        <f t="shared" si="317"/>
        <v>9</v>
      </c>
      <c r="N315" s="145">
        <f t="shared" si="318"/>
        <v>41.67</v>
      </c>
      <c r="O315" s="145">
        <f t="shared" si="319"/>
        <v>148.0420071774556</v>
      </c>
      <c r="P315" s="145">
        <f t="shared" si="320"/>
        <v>0</v>
      </c>
      <c r="Q315" s="145">
        <f t="shared" si="321"/>
        <v>58.63268745211104</v>
      </c>
      <c r="R315" s="147">
        <f t="shared" si="322"/>
        <v>248.34469462956662</v>
      </c>
      <c r="S315" s="147"/>
      <c r="T315" s="128">
        <f t="shared" si="323"/>
        <v>0</v>
      </c>
      <c r="U315" s="128">
        <f t="shared" si="324"/>
        <v>0</v>
      </c>
      <c r="V315" s="150">
        <f t="shared" si="325"/>
        <v>0.36299573549306846</v>
      </c>
      <c r="W315" s="150">
        <f t="shared" si="326"/>
        <v>9.479571766228538</v>
      </c>
      <c r="X315" s="150">
        <f t="shared" si="283"/>
        <v>9.842567501721607</v>
      </c>
    </row>
    <row r="316" spans="1:24" ht="12.75">
      <c r="A316" s="141">
        <v>299</v>
      </c>
      <c r="B316" s="142">
        <v>32</v>
      </c>
      <c r="C316" s="143">
        <f t="shared" si="207"/>
        <v>812.8</v>
      </c>
      <c r="D316" s="143">
        <v>17.48</v>
      </c>
      <c r="E316" s="144" t="s">
        <v>87</v>
      </c>
      <c r="F316" s="144">
        <f t="shared" si="282"/>
        <v>342.84897986796284</v>
      </c>
      <c r="G316" s="145">
        <f t="shared" si="313"/>
        <v>3</v>
      </c>
      <c r="H316" s="145">
        <f t="shared" si="298"/>
        <v>2</v>
      </c>
      <c r="I316" s="145">
        <f t="shared" si="314"/>
        <v>2</v>
      </c>
      <c r="J316" s="146">
        <f t="shared" si="315"/>
        <v>11.878221773914307</v>
      </c>
      <c r="K316" s="147"/>
      <c r="L316" s="145">
        <f t="shared" si="316"/>
        <v>0</v>
      </c>
      <c r="M316" s="145">
        <f t="shared" si="317"/>
        <v>9</v>
      </c>
      <c r="N316" s="145">
        <f t="shared" si="318"/>
        <v>46.44</v>
      </c>
      <c r="O316" s="145">
        <f t="shared" si="319"/>
        <v>183.87487306019347</v>
      </c>
      <c r="P316" s="145">
        <f t="shared" si="320"/>
        <v>0</v>
      </c>
      <c r="Q316" s="145">
        <f t="shared" si="321"/>
        <v>63.51288709565723</v>
      </c>
      <c r="R316" s="147">
        <f t="shared" si="322"/>
        <v>293.8277601558507</v>
      </c>
      <c r="S316" s="147"/>
      <c r="T316" s="128">
        <f t="shared" si="323"/>
        <v>0</v>
      </c>
      <c r="U316" s="128">
        <f t="shared" si="324"/>
        <v>0</v>
      </c>
      <c r="V316" s="150">
        <f t="shared" si="325"/>
        <v>0.3615252934166017</v>
      </c>
      <c r="W316" s="150">
        <f t="shared" si="326"/>
        <v>11.204628660632094</v>
      </c>
      <c r="X316" s="150">
        <f t="shared" si="283"/>
        <v>11.566153954048696</v>
      </c>
    </row>
    <row r="317" spans="1:24" ht="12.75">
      <c r="A317" s="141">
        <v>300</v>
      </c>
      <c r="B317" s="142"/>
      <c r="C317" s="143"/>
      <c r="D317" s="143"/>
      <c r="E317" s="144"/>
      <c r="F317" s="144">
        <f t="shared" si="282"/>
        <v>0</v>
      </c>
      <c r="G317" s="145"/>
      <c r="H317" s="145">
        <f t="shared" si="298"/>
        <v>0</v>
      </c>
      <c r="I317" s="145"/>
      <c r="J317" s="146"/>
      <c r="K317" s="147"/>
      <c r="L317" s="145"/>
      <c r="M317" s="145"/>
      <c r="N317" s="145"/>
      <c r="O317" s="145"/>
      <c r="P317" s="145"/>
      <c r="Q317" s="145"/>
      <c r="R317" s="147"/>
      <c r="S317" s="147"/>
      <c r="T317" s="128"/>
      <c r="U317" s="128"/>
      <c r="V317" s="150"/>
      <c r="W317" s="150"/>
      <c r="X317" s="150">
        <f t="shared" si="283"/>
        <v>0</v>
      </c>
    </row>
    <row r="318" spans="1:24" ht="12.75">
      <c r="A318" s="141">
        <v>301</v>
      </c>
      <c r="B318" s="142">
        <v>36</v>
      </c>
      <c r="C318" s="143">
        <f aca="true" t="shared" si="327" ref="C318:C323">25.4*B318</f>
        <v>914.4</v>
      </c>
      <c r="D318" s="143">
        <v>7.92</v>
      </c>
      <c r="E318" s="144" t="s">
        <v>97</v>
      </c>
      <c r="F318" s="144">
        <f t="shared" si="282"/>
        <v>177.05285637110038</v>
      </c>
      <c r="G318" s="145">
        <f aca="true" t="shared" si="328" ref="G318:G323">IF($D$6=1,2,3)</f>
        <v>3</v>
      </c>
      <c r="H318" s="145">
        <f t="shared" si="298"/>
        <v>2</v>
      </c>
      <c r="I318" s="145">
        <f aca="true" t="shared" si="329" ref="I318:I323">IF(D318&lt;=19,2,3)</f>
        <v>2</v>
      </c>
      <c r="J318" s="146">
        <f aca="true" t="shared" si="330" ref="J318:J323">IF(D318&lt;=19,(D318-H318)*TAN($C$8*PI()/180),(19-H318)*TAN($C$8*PI()/180))</f>
        <v>4.542575768835445</v>
      </c>
      <c r="K318" s="147"/>
      <c r="L318" s="145">
        <f aca="true" t="shared" si="331" ref="L318:L323">IF(D318&lt;=19,0,(D318-19)*TAN($C$10*PI()/180))</f>
        <v>0</v>
      </c>
      <c r="M318" s="145">
        <f aca="true" t="shared" si="332" ref="M318:M323">+G318*(H318*1.5)</f>
        <v>9</v>
      </c>
      <c r="N318" s="145">
        <f aca="true" t="shared" si="333" ref="N318:N323">+G318*(D318-H318)</f>
        <v>17.759999999999998</v>
      </c>
      <c r="O318" s="145">
        <f aca="true" t="shared" si="334" ref="O318:O323">IF(D318&lt;=19,(D318-H318)*J318,(19-H318)*J318)</f>
        <v>26.892048551505837</v>
      </c>
      <c r="P318" s="145">
        <f aca="true" t="shared" si="335" ref="P318:P323">IF(D318&lt;=19,0,(J318*(D318-19)*2)+((L318)*(D318-19)))</f>
        <v>0</v>
      </c>
      <c r="Q318" s="145">
        <f aca="true" t="shared" si="336" ref="Q318:Q323">+(5+G318+(2*(J318+L318)))*I318</f>
        <v>34.17030307534178</v>
      </c>
      <c r="R318" s="147">
        <f aca="true" t="shared" si="337" ref="R318:R323">SUM(N318:Q318)</f>
        <v>78.82235162684762</v>
      </c>
      <c r="S318" s="147"/>
      <c r="T318" s="128">
        <f aca="true" t="shared" si="338" ref="T318:T323">IF(D$6=1,(PI()*(C318-(2*D318)+(2*H318))*M318*0.1*0.01*7.85*0.001/(T$16*T$17)),0)</f>
        <v>0</v>
      </c>
      <c r="U318" s="128">
        <f aca="true" t="shared" si="339" ref="U318:U323">IF(D$6=1,(PI()*(C318-(0.5*D318))*(R318)*0.1*0.01*7.85*0.001/(U$16*U$17)),0)</f>
        <v>0</v>
      </c>
      <c r="V318" s="150">
        <f aca="true" t="shared" si="340" ref="V318:V323">IF(D$6=1,0,(PI()*(C318-(2*D318)+(2*H318))*M318*0.1*0.01*7.85*0.001/(V$16*V$17)))</f>
        <v>0.41734660394209555</v>
      </c>
      <c r="W318" s="150">
        <f aca="true" t="shared" si="341" ref="W318:W323">IF(D$6=1,0,(PI()*(C318-(0.5*D318))*(R318)*0.1*0.01*7.85*0.001/(W$16*W$17)))</f>
        <v>3.403430634136311</v>
      </c>
      <c r="X318" s="150">
        <f t="shared" si="283"/>
        <v>3.820777238078407</v>
      </c>
    </row>
    <row r="319" spans="1:24" ht="12.75">
      <c r="A319" s="141">
        <v>302</v>
      </c>
      <c r="B319" s="142">
        <v>36</v>
      </c>
      <c r="C319" s="143">
        <f t="shared" si="327"/>
        <v>914.4</v>
      </c>
      <c r="D319" s="143">
        <v>9.52</v>
      </c>
      <c r="E319" s="144" t="s">
        <v>86</v>
      </c>
      <c r="F319" s="144">
        <f t="shared" si="282"/>
        <v>212.44546617994294</v>
      </c>
      <c r="G319" s="145">
        <f t="shared" si="328"/>
        <v>3</v>
      </c>
      <c r="H319" s="145">
        <f t="shared" si="298"/>
        <v>2</v>
      </c>
      <c r="I319" s="145">
        <f t="shared" si="329"/>
        <v>2</v>
      </c>
      <c r="J319" s="146">
        <f t="shared" si="330"/>
        <v>5.770298949601782</v>
      </c>
      <c r="K319" s="147"/>
      <c r="L319" s="145">
        <f t="shared" si="331"/>
        <v>0</v>
      </c>
      <c r="M319" s="145">
        <f t="shared" si="332"/>
        <v>9</v>
      </c>
      <c r="N319" s="145">
        <f t="shared" si="333"/>
        <v>22.56</v>
      </c>
      <c r="O319" s="145">
        <f t="shared" si="334"/>
        <v>43.39264810100539</v>
      </c>
      <c r="P319" s="145">
        <f t="shared" si="335"/>
        <v>0</v>
      </c>
      <c r="Q319" s="145">
        <f t="shared" si="336"/>
        <v>39.08119579840712</v>
      </c>
      <c r="R319" s="147">
        <f t="shared" si="337"/>
        <v>105.03384389941252</v>
      </c>
      <c r="S319" s="147"/>
      <c r="T319" s="128">
        <f t="shared" si="338"/>
        <v>0</v>
      </c>
      <c r="U319" s="128">
        <f t="shared" si="339"/>
        <v>0</v>
      </c>
      <c r="V319" s="150">
        <f t="shared" si="340"/>
        <v>0.4158669138022548</v>
      </c>
      <c r="W319" s="150">
        <f t="shared" si="341"/>
        <v>4.531218396375608</v>
      </c>
      <c r="X319" s="150">
        <f t="shared" si="283"/>
        <v>4.9470853101778625</v>
      </c>
    </row>
    <row r="320" spans="1:24" ht="12.75">
      <c r="A320" s="141">
        <v>303</v>
      </c>
      <c r="B320" s="142">
        <v>36</v>
      </c>
      <c r="C320" s="143">
        <f t="shared" si="327"/>
        <v>914.4</v>
      </c>
      <c r="D320" s="143">
        <v>12.7</v>
      </c>
      <c r="E320" s="144" t="s">
        <v>92</v>
      </c>
      <c r="F320" s="144">
        <f t="shared" si="282"/>
        <v>282.4134134749903</v>
      </c>
      <c r="G320" s="145">
        <f t="shared" si="328"/>
        <v>3</v>
      </c>
      <c r="H320" s="145">
        <f t="shared" si="298"/>
        <v>2</v>
      </c>
      <c r="I320" s="145">
        <f t="shared" si="329"/>
        <v>2</v>
      </c>
      <c r="J320" s="146">
        <f t="shared" si="330"/>
        <v>8.210398771374875</v>
      </c>
      <c r="K320" s="147"/>
      <c r="L320" s="145">
        <f t="shared" si="331"/>
        <v>0</v>
      </c>
      <c r="M320" s="145">
        <f t="shared" si="332"/>
        <v>9</v>
      </c>
      <c r="N320" s="145">
        <f t="shared" si="333"/>
        <v>32.099999999999994</v>
      </c>
      <c r="O320" s="145">
        <f t="shared" si="334"/>
        <v>87.85126685371115</v>
      </c>
      <c r="P320" s="145">
        <f t="shared" si="335"/>
        <v>0</v>
      </c>
      <c r="Q320" s="145">
        <f t="shared" si="336"/>
        <v>48.8415950854995</v>
      </c>
      <c r="R320" s="147">
        <f t="shared" si="337"/>
        <v>168.79286193921064</v>
      </c>
      <c r="S320" s="147"/>
      <c r="T320" s="128">
        <f t="shared" si="338"/>
        <v>0</v>
      </c>
      <c r="U320" s="128">
        <f t="shared" si="339"/>
        <v>0</v>
      </c>
      <c r="V320" s="150">
        <f t="shared" si="340"/>
        <v>0.4129260296493212</v>
      </c>
      <c r="W320" s="150">
        <f t="shared" si="341"/>
        <v>7.2690896558600135</v>
      </c>
      <c r="X320" s="150">
        <f t="shared" si="283"/>
        <v>7.6820156855093344</v>
      </c>
    </row>
    <row r="321" spans="1:24" ht="12.75">
      <c r="A321" s="141">
        <v>304</v>
      </c>
      <c r="B321" s="142">
        <v>36</v>
      </c>
      <c r="C321" s="143">
        <f t="shared" si="327"/>
        <v>914.4</v>
      </c>
      <c r="D321" s="143">
        <v>12.7</v>
      </c>
      <c r="E321" s="144" t="s">
        <v>82</v>
      </c>
      <c r="F321" s="144">
        <f t="shared" si="282"/>
        <v>282.4134134749903</v>
      </c>
      <c r="G321" s="145">
        <f t="shared" si="328"/>
        <v>3</v>
      </c>
      <c r="H321" s="145">
        <f t="shared" si="298"/>
        <v>2</v>
      </c>
      <c r="I321" s="145">
        <f t="shared" si="329"/>
        <v>2</v>
      </c>
      <c r="J321" s="146">
        <f t="shared" si="330"/>
        <v>8.210398771374875</v>
      </c>
      <c r="K321" s="147"/>
      <c r="L321" s="145">
        <f t="shared" si="331"/>
        <v>0</v>
      </c>
      <c r="M321" s="145">
        <f t="shared" si="332"/>
        <v>9</v>
      </c>
      <c r="N321" s="145">
        <f t="shared" si="333"/>
        <v>32.099999999999994</v>
      </c>
      <c r="O321" s="145">
        <f t="shared" si="334"/>
        <v>87.85126685371115</v>
      </c>
      <c r="P321" s="145">
        <f t="shared" si="335"/>
        <v>0</v>
      </c>
      <c r="Q321" s="145">
        <f t="shared" si="336"/>
        <v>48.8415950854995</v>
      </c>
      <c r="R321" s="147">
        <f t="shared" si="337"/>
        <v>168.79286193921064</v>
      </c>
      <c r="S321" s="147"/>
      <c r="T321" s="128">
        <f t="shared" si="338"/>
        <v>0</v>
      </c>
      <c r="U321" s="128">
        <f t="shared" si="339"/>
        <v>0</v>
      </c>
      <c r="V321" s="150">
        <f t="shared" si="340"/>
        <v>0.4129260296493212</v>
      </c>
      <c r="W321" s="150">
        <f t="shared" si="341"/>
        <v>7.2690896558600135</v>
      </c>
      <c r="X321" s="150">
        <f t="shared" si="283"/>
        <v>7.6820156855093344</v>
      </c>
    </row>
    <row r="322" spans="1:24" ht="12.75">
      <c r="A322" s="141">
        <v>305</v>
      </c>
      <c r="B322" s="142">
        <v>36</v>
      </c>
      <c r="C322" s="143">
        <f t="shared" si="327"/>
        <v>914.4</v>
      </c>
      <c r="D322" s="143">
        <v>15.88</v>
      </c>
      <c r="E322" s="144" t="s">
        <v>93</v>
      </c>
      <c r="F322" s="144">
        <f t="shared" si="282"/>
        <v>351.8825868177002</v>
      </c>
      <c r="G322" s="145">
        <f t="shared" si="328"/>
        <v>3</v>
      </c>
      <c r="H322" s="145">
        <f t="shared" si="298"/>
        <v>2</v>
      </c>
      <c r="I322" s="145">
        <f t="shared" si="329"/>
        <v>2</v>
      </c>
      <c r="J322" s="146">
        <f t="shared" si="330"/>
        <v>10.65049859314797</v>
      </c>
      <c r="K322" s="147"/>
      <c r="L322" s="145">
        <f t="shared" si="331"/>
        <v>0</v>
      </c>
      <c r="M322" s="145">
        <f t="shared" si="332"/>
        <v>9</v>
      </c>
      <c r="N322" s="145">
        <f t="shared" si="333"/>
        <v>41.64</v>
      </c>
      <c r="O322" s="145">
        <f t="shared" si="334"/>
        <v>147.82892047289383</v>
      </c>
      <c r="P322" s="145">
        <f t="shared" si="335"/>
        <v>0</v>
      </c>
      <c r="Q322" s="145">
        <f t="shared" si="336"/>
        <v>58.60199437259188</v>
      </c>
      <c r="R322" s="147">
        <f t="shared" si="337"/>
        <v>248.07091484548573</v>
      </c>
      <c r="S322" s="147"/>
      <c r="T322" s="128">
        <f t="shared" si="338"/>
        <v>0</v>
      </c>
      <c r="U322" s="128">
        <f t="shared" si="339"/>
        <v>0</v>
      </c>
      <c r="V322" s="150">
        <f t="shared" si="340"/>
        <v>0.4099851454963876</v>
      </c>
      <c r="W322" s="150">
        <f t="shared" si="341"/>
        <v>10.664504418278074</v>
      </c>
      <c r="X322" s="150">
        <f t="shared" si="283"/>
        <v>11.074489563774462</v>
      </c>
    </row>
    <row r="323" spans="1:24" ht="12.75">
      <c r="A323" s="141">
        <v>306</v>
      </c>
      <c r="B323" s="142">
        <v>36</v>
      </c>
      <c r="C323" s="143">
        <f t="shared" si="327"/>
        <v>914.4</v>
      </c>
      <c r="D323" s="143">
        <v>19.05</v>
      </c>
      <c r="E323" s="144" t="s">
        <v>87</v>
      </c>
      <c r="F323" s="144">
        <f t="shared" si="282"/>
        <v>420.636879929299</v>
      </c>
      <c r="G323" s="145">
        <f t="shared" si="328"/>
        <v>3</v>
      </c>
      <c r="H323" s="145">
        <f t="shared" si="298"/>
        <v>2</v>
      </c>
      <c r="I323" s="145">
        <f t="shared" si="329"/>
        <v>3</v>
      </c>
      <c r="J323" s="146">
        <f t="shared" si="330"/>
        <v>13.044558795642326</v>
      </c>
      <c r="K323" s="147"/>
      <c r="L323" s="145">
        <f t="shared" si="331"/>
        <v>0.008816349035423374</v>
      </c>
      <c r="M323" s="145">
        <f t="shared" si="332"/>
        <v>9</v>
      </c>
      <c r="N323" s="145">
        <f t="shared" si="333"/>
        <v>51.150000000000006</v>
      </c>
      <c r="O323" s="145">
        <f t="shared" si="334"/>
        <v>221.75749952591954</v>
      </c>
      <c r="P323" s="145">
        <f t="shared" si="335"/>
        <v>1.3048966970160223</v>
      </c>
      <c r="Q323" s="145">
        <f t="shared" si="336"/>
        <v>102.32025086806651</v>
      </c>
      <c r="R323" s="147">
        <f t="shared" si="337"/>
        <v>376.5326470910021</v>
      </c>
      <c r="S323" s="147"/>
      <c r="T323" s="128">
        <f t="shared" si="338"/>
        <v>0</v>
      </c>
      <c r="U323" s="128">
        <f t="shared" si="339"/>
        <v>0</v>
      </c>
      <c r="V323" s="150">
        <f t="shared" si="340"/>
        <v>0.40705350940682805</v>
      </c>
      <c r="W323" s="150">
        <f t="shared" si="341"/>
        <v>16.158737018472042</v>
      </c>
      <c r="X323" s="150">
        <f t="shared" si="283"/>
        <v>16.56579052787887</v>
      </c>
    </row>
    <row r="324" spans="1:24" ht="12.75">
      <c r="A324" s="141">
        <v>307</v>
      </c>
      <c r="B324" s="142"/>
      <c r="C324" s="143"/>
      <c r="D324" s="143"/>
      <c r="E324" s="144"/>
      <c r="F324" s="144">
        <f aca="true" t="shared" si="342" ref="F324:F341">+PI()*D324*(C324-D324)*0.00785</f>
        <v>0</v>
      </c>
      <c r="G324" s="145"/>
      <c r="H324" s="145">
        <f t="shared" si="298"/>
        <v>0</v>
      </c>
      <c r="I324" s="145"/>
      <c r="J324" s="146"/>
      <c r="K324" s="147"/>
      <c r="L324" s="145"/>
      <c r="M324" s="145"/>
      <c r="N324" s="145"/>
      <c r="O324" s="145"/>
      <c r="P324" s="145"/>
      <c r="Q324" s="145"/>
      <c r="R324" s="147"/>
      <c r="S324" s="147"/>
      <c r="T324" s="128"/>
      <c r="U324" s="128"/>
      <c r="V324" s="150"/>
      <c r="W324" s="150"/>
      <c r="X324" s="150">
        <f aca="true" t="shared" si="343" ref="X324:X341">SUM(V324:W324)</f>
        <v>0</v>
      </c>
    </row>
    <row r="325" spans="1:24" ht="24" customHeight="1">
      <c r="A325" s="141">
        <v>308</v>
      </c>
      <c r="B325" s="142">
        <v>38</v>
      </c>
      <c r="C325" s="143">
        <f aca="true" t="shared" si="344" ref="C325:C338">25.4*B325</f>
        <v>965.1999999999999</v>
      </c>
      <c r="D325" s="143">
        <v>9.52</v>
      </c>
      <c r="E325" s="144" t="s">
        <v>86</v>
      </c>
      <c r="F325" s="144">
        <f t="shared" si="342"/>
        <v>224.372163291097</v>
      </c>
      <c r="G325" s="145">
        <f>IF($D$6=1,2,3)</f>
        <v>3</v>
      </c>
      <c r="H325" s="145">
        <f t="shared" si="298"/>
        <v>2</v>
      </c>
      <c r="I325" s="145">
        <f>IF(D325&lt;=19,2,3)</f>
        <v>2</v>
      </c>
      <c r="J325" s="146">
        <f>IF(D325&lt;=19,(D325-H325)*TAN($C$8*PI()/180),(19-H325)*TAN($C$8*PI()/180))</f>
        <v>5.770298949601782</v>
      </c>
      <c r="K325" s="147"/>
      <c r="L325" s="145">
        <f>IF(D325&lt;=19,0,(D325-19)*TAN($C$10*PI()/180))</f>
        <v>0</v>
      </c>
      <c r="M325" s="145">
        <f>+G325*(H325*1.5)</f>
        <v>9</v>
      </c>
      <c r="N325" s="145">
        <f>+G325*(D325-H325)</f>
        <v>22.56</v>
      </c>
      <c r="O325" s="145">
        <f>IF(D325&lt;=19,(D325-H325)*J325,(19-H325)*J325)</f>
        <v>43.39264810100539</v>
      </c>
      <c r="P325" s="145">
        <f>IF(D325&lt;=19,0,(J325*(D325-19)*2)+((L325)*(D325-19)))</f>
        <v>0</v>
      </c>
      <c r="Q325" s="145">
        <f>+(5+G325+(2*(J325+L325)))*I325</f>
        <v>39.08119579840712</v>
      </c>
      <c r="R325" s="147">
        <f>SUM(N325:Q325)</f>
        <v>105.03384389941252</v>
      </c>
      <c r="S325" s="147"/>
      <c r="T325" s="128">
        <f>IF(D$6=1,(PI()*(C325-(2*D325)+(2*H325))*M325*0.1*0.01*7.85*0.001/(T$16*T$17)),0)</f>
        <v>0</v>
      </c>
      <c r="U325" s="128">
        <f>IF(D$6=1,(PI()*(C325-(0.5*D325))*(R325)*0.1*0.01*7.85*0.001/(U$16*U$17)),0)</f>
        <v>0</v>
      </c>
      <c r="V325" s="150">
        <f>IF(D$6=1,0,(PI()*(C325-(2*D325)+(2*H325))*M325*0.1*0.01*7.85*0.001/(V$16*V$17)))</f>
        <v>0.43935699477222734</v>
      </c>
      <c r="W325" s="150">
        <f>IF(D$6=1,0,(PI()*(C325-(0.5*D325))*(R325)*0.1*0.01*7.85*0.001/(W$16*W$17)))</f>
        <v>4.784270037174036</v>
      </c>
      <c r="X325" s="150">
        <f t="shared" si="343"/>
        <v>5.223627031946263</v>
      </c>
    </row>
    <row r="326" spans="1:24" ht="26.25" customHeight="1">
      <c r="A326" s="141">
        <v>309</v>
      </c>
      <c r="B326" s="142">
        <v>38</v>
      </c>
      <c r="C326" s="143">
        <f t="shared" si="344"/>
        <v>965.1999999999999</v>
      </c>
      <c r="D326" s="143">
        <v>12.7</v>
      </c>
      <c r="E326" s="144" t="s">
        <v>82</v>
      </c>
      <c r="F326" s="144">
        <f t="shared" si="342"/>
        <v>298.3240283186517</v>
      </c>
      <c r="G326" s="145">
        <f>IF($D$6=1,2,3)</f>
        <v>3</v>
      </c>
      <c r="H326" s="145">
        <f t="shared" si="298"/>
        <v>2</v>
      </c>
      <c r="I326" s="145">
        <f>IF(D326&lt;=19,2,3)</f>
        <v>2</v>
      </c>
      <c r="J326" s="146">
        <f>IF(D326&lt;=19,(D326-H326)*TAN($C$8*PI()/180),(19-H326)*TAN($C$8*PI()/180))</f>
        <v>8.210398771374875</v>
      </c>
      <c r="K326" s="147"/>
      <c r="L326" s="145">
        <f>IF(D326&lt;=19,0,(D326-19)*TAN($C$10*PI()/180))</f>
        <v>0</v>
      </c>
      <c r="M326" s="145">
        <f>+G326*(H326*1.5)</f>
        <v>9</v>
      </c>
      <c r="N326" s="145">
        <f>+G326*(D326-H326)</f>
        <v>32.099999999999994</v>
      </c>
      <c r="O326" s="145">
        <f>IF(D326&lt;=19,(D326-H326)*J326,(19-H326)*J326)</f>
        <v>87.85126685371115</v>
      </c>
      <c r="P326" s="145">
        <f>IF(D326&lt;=19,0,(J326*(D326-19)*2)+((L326)*(D326-19)))</f>
        <v>0</v>
      </c>
      <c r="Q326" s="145">
        <f>+(5+G326+(2*(J326+L326)))*I326</f>
        <v>48.8415950854995</v>
      </c>
      <c r="R326" s="147">
        <f>SUM(N326:Q326)</f>
        <v>168.79286193921064</v>
      </c>
      <c r="S326" s="147"/>
      <c r="T326" s="128">
        <f>IF(D$6=1,(PI()*(C326-(2*D326)+(2*H326))*M326*0.1*0.01*7.85*0.001/(T$16*T$17)),0)</f>
        <v>0</v>
      </c>
      <c r="U326" s="128">
        <f>IF(D$6=1,(PI()*(C326-(0.5*D326))*(R326)*0.1*0.01*7.85*0.001/(U$16*U$17)),0)</f>
        <v>0</v>
      </c>
      <c r="V326" s="150">
        <f>IF(D$6=1,0,(PI()*(C326-(2*D326)+(2*H326))*M326*0.1*0.01*7.85*0.001/(V$16*V$17)))</f>
        <v>0.43641611061929386</v>
      </c>
      <c r="W326" s="150">
        <f>IF(D$6=1,0,(PI()*(C326-(0.5*D326))*(R326)*0.1*0.01*7.85*0.001/(W$16*W$17)))</f>
        <v>7.675752014229802</v>
      </c>
      <c r="X326" s="150">
        <f t="shared" si="343"/>
        <v>8.112168124849097</v>
      </c>
    </row>
    <row r="327" spans="1:24" ht="12.75">
      <c r="A327" s="141">
        <v>310</v>
      </c>
      <c r="B327" s="142"/>
      <c r="C327" s="143"/>
      <c r="D327" s="143"/>
      <c r="E327" s="144"/>
      <c r="F327" s="144">
        <f t="shared" si="342"/>
        <v>0</v>
      </c>
      <c r="G327" s="145"/>
      <c r="H327" s="145">
        <f t="shared" si="298"/>
        <v>0</v>
      </c>
      <c r="I327" s="145"/>
      <c r="J327" s="146"/>
      <c r="K327" s="147"/>
      <c r="L327" s="145"/>
      <c r="M327" s="145"/>
      <c r="N327" s="145"/>
      <c r="O327" s="145"/>
      <c r="P327" s="145"/>
      <c r="Q327" s="145"/>
      <c r="R327" s="147"/>
      <c r="S327" s="147"/>
      <c r="T327" s="128"/>
      <c r="U327" s="128"/>
      <c r="V327" s="150"/>
      <c r="W327" s="150"/>
      <c r="X327" s="150">
        <f t="shared" si="343"/>
        <v>0</v>
      </c>
    </row>
    <row r="328" spans="1:24" ht="12.75">
      <c r="A328" s="141">
        <v>311</v>
      </c>
      <c r="B328" s="142">
        <v>40</v>
      </c>
      <c r="C328" s="143">
        <f t="shared" si="344"/>
        <v>1016</v>
      </c>
      <c r="D328" s="143">
        <v>9.52</v>
      </c>
      <c r="E328" s="144" t="s">
        <v>86</v>
      </c>
      <c r="F328" s="144">
        <f t="shared" si="342"/>
        <v>236.29886040225108</v>
      </c>
      <c r="G328" s="145">
        <f>IF($D$6=1,2,3)</f>
        <v>3</v>
      </c>
      <c r="H328" s="145">
        <f t="shared" si="298"/>
        <v>2</v>
      </c>
      <c r="I328" s="145">
        <f>IF(D328&lt;=19,2,3)</f>
        <v>2</v>
      </c>
      <c r="J328" s="146">
        <f>IF(D328&lt;=19,(D328-H328)*TAN($C$8*PI()/180),(19-H328)*TAN($C$8*PI()/180))</f>
        <v>5.770298949601782</v>
      </c>
      <c r="K328" s="147"/>
      <c r="L328" s="145">
        <f>IF(D328&lt;=19,0,(D328-19)*TAN($C$10*PI()/180))</f>
        <v>0</v>
      </c>
      <c r="M328" s="145">
        <f>+G328*(H328*1.5)</f>
        <v>9</v>
      </c>
      <c r="N328" s="145">
        <f>+G328*(D328-H328)</f>
        <v>22.56</v>
      </c>
      <c r="O328" s="145">
        <f>IF(D328&lt;=19,(D328-H328)*J328,(19-H328)*J328)</f>
        <v>43.39264810100539</v>
      </c>
      <c r="P328" s="145">
        <f>IF(D328&lt;=19,0,(J328*(D328-19)*2)+((L328)*(D328-19)))</f>
        <v>0</v>
      </c>
      <c r="Q328" s="145">
        <f>+(5+G328+(2*(J328+L328)))*I328</f>
        <v>39.08119579840712</v>
      </c>
      <c r="R328" s="147">
        <f>SUM(N328:Q328)</f>
        <v>105.03384389941252</v>
      </c>
      <c r="S328" s="147"/>
      <c r="T328" s="128">
        <f>IF(D$6=1,(PI()*(C328-(2*D328)+(2*H328))*M328*0.1*0.01*7.85*0.001/(T$16*T$17)),0)</f>
        <v>0</v>
      </c>
      <c r="U328" s="128">
        <f>IF(D$6=1,(PI()*(C328-(0.5*D328))*(R328)*0.1*0.01*7.85*0.001/(U$16*U$17)),0)</f>
        <v>0</v>
      </c>
      <c r="V328" s="150">
        <f>IF(D$6=1,0,(PI()*(C328-(2*D328)+(2*H328))*M328*0.1*0.01*7.85*0.001/(V$16*V$17)))</f>
        <v>0.46284707574219996</v>
      </c>
      <c r="W328" s="150">
        <f>IF(D$6=1,0,(PI()*(C328-(0.5*D328))*(R328)*0.1*0.01*7.85*0.001/(W$16*W$17)))</f>
        <v>5.037321677972462</v>
      </c>
      <c r="X328" s="150">
        <f t="shared" si="343"/>
        <v>5.500168753714662</v>
      </c>
    </row>
    <row r="329" spans="1:24" ht="12.75">
      <c r="A329" s="141">
        <v>312</v>
      </c>
      <c r="B329" s="142">
        <v>40</v>
      </c>
      <c r="C329" s="143">
        <f t="shared" si="344"/>
        <v>1016</v>
      </c>
      <c r="D329" s="143">
        <v>12.7</v>
      </c>
      <c r="E329" s="144" t="s">
        <v>82</v>
      </c>
      <c r="F329" s="144">
        <f t="shared" si="342"/>
        <v>314.23464316231315</v>
      </c>
      <c r="G329" s="145">
        <f>IF($D$6=1,2,3)</f>
        <v>3</v>
      </c>
      <c r="H329" s="145">
        <f t="shared" si="298"/>
        <v>2</v>
      </c>
      <c r="I329" s="145">
        <f>IF(D329&lt;=19,2,3)</f>
        <v>2</v>
      </c>
      <c r="J329" s="146">
        <f>IF(D329&lt;=19,(D329-H329)*TAN($C$8*PI()/180),(19-H329)*TAN($C$8*PI()/180))</f>
        <v>8.210398771374875</v>
      </c>
      <c r="K329" s="147"/>
      <c r="L329" s="145">
        <f>IF(D329&lt;=19,0,(D329-19)*TAN($C$10*PI()/180))</f>
        <v>0</v>
      </c>
      <c r="M329" s="145">
        <f>+G329*(H329*1.5)</f>
        <v>9</v>
      </c>
      <c r="N329" s="145">
        <f>+G329*(D329-H329)</f>
        <v>32.099999999999994</v>
      </c>
      <c r="O329" s="145">
        <f>IF(D329&lt;=19,(D329-H329)*J329,(19-H329)*J329)</f>
        <v>87.85126685371115</v>
      </c>
      <c r="P329" s="145">
        <f>IF(D329&lt;=19,0,(J329*(D329-19)*2)+((L329)*(D329-19)))</f>
        <v>0</v>
      </c>
      <c r="Q329" s="145">
        <f>+(5+G329+(2*(J329+L329)))*I329</f>
        <v>48.8415950854995</v>
      </c>
      <c r="R329" s="147">
        <f>SUM(N329:Q329)</f>
        <v>168.79286193921064</v>
      </c>
      <c r="S329" s="147"/>
      <c r="T329" s="128">
        <f>IF(D$6=1,(PI()*(C329-(2*D329)+(2*H329))*M329*0.1*0.01*7.85*0.001/(T$16*T$17)),0)</f>
        <v>0</v>
      </c>
      <c r="U329" s="128">
        <f>IF(D$6=1,(PI()*(C329-(0.5*D329))*(R329)*0.1*0.01*7.85*0.001/(U$16*U$17)),0)</f>
        <v>0</v>
      </c>
      <c r="V329" s="150">
        <f>IF(D$6=1,0,(PI()*(C329-(2*D329)+(2*H329))*M329*0.1*0.01*7.85*0.001/(V$16*V$17)))</f>
        <v>0.45990619158926643</v>
      </c>
      <c r="W329" s="150">
        <f>IF(D$6=1,0,(PI()*(C329-(0.5*D329))*(R329)*0.1*0.01*7.85*0.001/(W$16*W$17)))</f>
        <v>8.082414372599594</v>
      </c>
      <c r="X329" s="150">
        <f t="shared" si="343"/>
        <v>8.542320564188861</v>
      </c>
    </row>
    <row r="330" spans="1:24" ht="12.75">
      <c r="A330" s="141">
        <v>313</v>
      </c>
      <c r="B330" s="142"/>
      <c r="C330" s="143"/>
      <c r="D330" s="143"/>
      <c r="E330" s="144"/>
      <c r="F330" s="144">
        <f t="shared" si="342"/>
        <v>0</v>
      </c>
      <c r="G330" s="145"/>
      <c r="H330" s="145">
        <f t="shared" si="298"/>
        <v>0</v>
      </c>
      <c r="I330" s="145"/>
      <c r="J330" s="146"/>
      <c r="K330" s="147"/>
      <c r="L330" s="145"/>
      <c r="M330" s="145"/>
      <c r="N330" s="145"/>
      <c r="O330" s="145"/>
      <c r="P330" s="145"/>
      <c r="Q330" s="145"/>
      <c r="R330" s="147"/>
      <c r="S330" s="147"/>
      <c r="T330" s="128"/>
      <c r="U330" s="128"/>
      <c r="V330" s="150"/>
      <c r="W330" s="150"/>
      <c r="X330" s="150">
        <f t="shared" si="343"/>
        <v>0</v>
      </c>
    </row>
    <row r="331" spans="1:24" ht="12.75">
      <c r="A331" s="141">
        <v>314</v>
      </c>
      <c r="B331" s="142">
        <v>42</v>
      </c>
      <c r="C331" s="143">
        <f t="shared" si="344"/>
        <v>1066.8</v>
      </c>
      <c r="D331" s="143">
        <v>9.52</v>
      </c>
      <c r="E331" s="144" t="s">
        <v>86</v>
      </c>
      <c r="F331" s="144">
        <f t="shared" si="342"/>
        <v>248.22555751340516</v>
      </c>
      <c r="G331" s="145">
        <f>IF($D$6=1,2,3)</f>
        <v>3</v>
      </c>
      <c r="H331" s="145">
        <f t="shared" si="298"/>
        <v>2</v>
      </c>
      <c r="I331" s="145">
        <f>IF(D331&lt;=19,2,3)</f>
        <v>2</v>
      </c>
      <c r="J331" s="146">
        <f>IF(D331&lt;=19,(D331-H331)*TAN($C$8*PI()/180),(19-H331)*TAN($C$8*PI()/180))</f>
        <v>5.770298949601782</v>
      </c>
      <c r="K331" s="147"/>
      <c r="L331" s="145">
        <f>IF(D331&lt;=19,0,(D331-19)*TAN($C$10*PI()/180))</f>
        <v>0</v>
      </c>
      <c r="M331" s="145">
        <f>+G331*(H331*1.5)</f>
        <v>9</v>
      </c>
      <c r="N331" s="145">
        <f>+G331*(D331-H331)</f>
        <v>22.56</v>
      </c>
      <c r="O331" s="145">
        <f>IF(D331&lt;=19,(D331-H331)*J331,(19-H331)*J331)</f>
        <v>43.39264810100539</v>
      </c>
      <c r="P331" s="145">
        <f>IF(D331&lt;=19,0,(J331*(D331-19)*2)+((L331)*(D331-19)))</f>
        <v>0</v>
      </c>
      <c r="Q331" s="145">
        <f>+(5+G331+(2*(J331+L331)))*I331</f>
        <v>39.08119579840712</v>
      </c>
      <c r="R331" s="147">
        <f>SUM(N331:Q331)</f>
        <v>105.03384389941252</v>
      </c>
      <c r="S331" s="147"/>
      <c r="T331" s="128">
        <f>IF(D$6=1,(PI()*(C331-(2*D331)+(2*H331))*M331*0.1*0.01*7.85*0.001/(T$16*T$17)),0)</f>
        <v>0</v>
      </c>
      <c r="U331" s="128">
        <f>IF(D$6=1,(PI()*(C331-(0.5*D331))*(R331)*0.1*0.01*7.85*0.001/(U$16*U$17)),0)</f>
        <v>0</v>
      </c>
      <c r="V331" s="150">
        <f>IF(D$6=1,0,(PI()*(C331-(2*D331)+(2*H331))*M331*0.1*0.01*7.85*0.001/(V$16*V$17)))</f>
        <v>0.48633715671217254</v>
      </c>
      <c r="W331" s="150">
        <f>IF(D$6=1,0,(PI()*(C331-(0.5*D331))*(R331)*0.1*0.01*7.85*0.001/(W$16*W$17)))</f>
        <v>5.290373318770889</v>
      </c>
      <c r="X331" s="150">
        <f t="shared" si="343"/>
        <v>5.776710475483061</v>
      </c>
    </row>
    <row r="332" spans="1:24" ht="12.75">
      <c r="A332" s="141">
        <v>315</v>
      </c>
      <c r="B332" s="142">
        <v>42</v>
      </c>
      <c r="C332" s="143">
        <f t="shared" si="344"/>
        <v>1066.8</v>
      </c>
      <c r="D332" s="143">
        <v>12.7</v>
      </c>
      <c r="E332" s="144" t="s">
        <v>82</v>
      </c>
      <c r="F332" s="144">
        <f t="shared" si="342"/>
        <v>330.1452580059746</v>
      </c>
      <c r="G332" s="145">
        <f>IF($D$6=1,2,3)</f>
        <v>3</v>
      </c>
      <c r="H332" s="145">
        <f t="shared" si="298"/>
        <v>2</v>
      </c>
      <c r="I332" s="145">
        <f>IF(D332&lt;=19,2,3)</f>
        <v>2</v>
      </c>
      <c r="J332" s="146">
        <f>IF(D332&lt;=19,(D332-H332)*TAN($C$8*PI()/180),(19-H332)*TAN($C$8*PI()/180))</f>
        <v>8.210398771374875</v>
      </c>
      <c r="K332" s="147"/>
      <c r="L332" s="145">
        <f>IF(D332&lt;=19,0,(D332-19)*TAN($C$10*PI()/180))</f>
        <v>0</v>
      </c>
      <c r="M332" s="145">
        <f>+G332*(H332*1.5)</f>
        <v>9</v>
      </c>
      <c r="N332" s="145">
        <f>+G332*(D332-H332)</f>
        <v>32.099999999999994</v>
      </c>
      <c r="O332" s="145">
        <f>IF(D332&lt;=19,(D332-H332)*J332,(19-H332)*J332)</f>
        <v>87.85126685371115</v>
      </c>
      <c r="P332" s="145">
        <f>IF(D332&lt;=19,0,(J332*(D332-19)*2)+((L332)*(D332-19)))</f>
        <v>0</v>
      </c>
      <c r="Q332" s="145">
        <f>+(5+G332+(2*(J332+L332)))*I332</f>
        <v>48.8415950854995</v>
      </c>
      <c r="R332" s="147">
        <f>SUM(N332:Q332)</f>
        <v>168.79286193921064</v>
      </c>
      <c r="S332" s="147"/>
      <c r="T332" s="128">
        <f>IF(D$6=1,(PI()*(C332-(2*D332)+(2*H332))*M332*0.1*0.01*7.85*0.001/(T$16*T$17)),0)</f>
        <v>0</v>
      </c>
      <c r="U332" s="128">
        <f>IF(D$6=1,(PI()*(C332-(0.5*D332))*(R332)*0.1*0.01*7.85*0.001/(U$16*U$17)),0)</f>
        <v>0</v>
      </c>
      <c r="V332" s="150">
        <f>IF(D$6=1,0,(PI()*(C332-(2*D332)+(2*H332))*M332*0.1*0.01*7.85*0.001/(V$16*V$17)))</f>
        <v>0.48339627255923895</v>
      </c>
      <c r="W332" s="150">
        <f>IF(D$6=1,0,(PI()*(C332-(0.5*D332))*(R332)*0.1*0.01*7.85*0.001/(W$16*W$17)))</f>
        <v>8.489076730969384</v>
      </c>
      <c r="X332" s="150">
        <f t="shared" si="343"/>
        <v>8.972473003528622</v>
      </c>
    </row>
    <row r="333" spans="1:24" ht="12.75">
      <c r="A333" s="141">
        <v>316</v>
      </c>
      <c r="B333" s="142"/>
      <c r="C333" s="143"/>
      <c r="D333" s="143"/>
      <c r="E333" s="144"/>
      <c r="F333" s="144">
        <f t="shared" si="342"/>
        <v>0</v>
      </c>
      <c r="G333" s="145"/>
      <c r="H333" s="145">
        <f aca="true" t="shared" si="345" ref="H333:H342">IF(D333&lt;2,D333,2)</f>
        <v>0</v>
      </c>
      <c r="I333" s="145"/>
      <c r="J333" s="146"/>
      <c r="K333" s="147"/>
      <c r="L333" s="145"/>
      <c r="M333" s="145"/>
      <c r="N333" s="145"/>
      <c r="O333" s="145"/>
      <c r="P333" s="145"/>
      <c r="Q333" s="145"/>
      <c r="R333" s="147"/>
      <c r="S333" s="147"/>
      <c r="T333" s="128"/>
      <c r="U333" s="128"/>
      <c r="V333" s="150"/>
      <c r="W333" s="150"/>
      <c r="X333" s="150">
        <f t="shared" si="343"/>
        <v>0</v>
      </c>
    </row>
    <row r="334" spans="1:24" ht="12.75">
      <c r="A334" s="141">
        <v>317</v>
      </c>
      <c r="B334" s="142">
        <v>44</v>
      </c>
      <c r="C334" s="143">
        <f t="shared" si="344"/>
        <v>1117.6</v>
      </c>
      <c r="D334" s="143">
        <v>9.52</v>
      </c>
      <c r="E334" s="144" t="s">
        <v>86</v>
      </c>
      <c r="F334" s="144">
        <f t="shared" si="342"/>
        <v>260.15225462455925</v>
      </c>
      <c r="G334" s="145">
        <f>IF($D$6=1,2,3)</f>
        <v>3</v>
      </c>
      <c r="H334" s="145">
        <f t="shared" si="345"/>
        <v>2</v>
      </c>
      <c r="I334" s="145">
        <f>IF(D334&lt;=19,2,3)</f>
        <v>2</v>
      </c>
      <c r="J334" s="146">
        <f>IF(D334&lt;=19,(D334-H334)*TAN($C$8*PI()/180),(19-H334)*TAN($C$8*PI()/180))</f>
        <v>5.770298949601782</v>
      </c>
      <c r="K334" s="147"/>
      <c r="L334" s="145">
        <f>IF(D334&lt;=19,0,(D334-19)*TAN($C$10*PI()/180))</f>
        <v>0</v>
      </c>
      <c r="M334" s="145">
        <f>+G334*(H334*1.5)</f>
        <v>9</v>
      </c>
      <c r="N334" s="145">
        <f>+G334*(D334-H334)</f>
        <v>22.56</v>
      </c>
      <c r="O334" s="145">
        <f>IF(D334&lt;=19,(D334-H334)*J334,(19-H334)*J334)</f>
        <v>43.39264810100539</v>
      </c>
      <c r="P334" s="145">
        <f>IF(D334&lt;=19,0,(J334*(D334-19)*2)+((L334)*(D334-19)))</f>
        <v>0</v>
      </c>
      <c r="Q334" s="145">
        <f>+(5+G334+(2*(J334+L334)))*I334</f>
        <v>39.08119579840712</v>
      </c>
      <c r="R334" s="147">
        <f>SUM(N334:Q334)</f>
        <v>105.03384389941252</v>
      </c>
      <c r="S334" s="147"/>
      <c r="T334" s="128">
        <f>IF(D$6=1,(PI()*(C334-(2*D334)+(2*H334))*M334*0.1*0.01*7.85*0.001/(T$16*T$17)),0)</f>
        <v>0</v>
      </c>
      <c r="U334" s="128">
        <f>IF(D$6=1,(PI()*(C334-(0.5*D334))*(R334)*0.1*0.01*7.85*0.001/(U$16*U$17)),0)</f>
        <v>0</v>
      </c>
      <c r="V334" s="150">
        <f>IF(D$6=1,0,(PI()*(C334-(2*D334)+(2*H334))*M334*0.1*0.01*7.85*0.001/(V$16*V$17)))</f>
        <v>0.5098272376821451</v>
      </c>
      <c r="W334" s="150">
        <f>IF(D$6=1,0,(PI()*(C334-(0.5*D334))*(R334)*0.1*0.01*7.85*0.001/(W$16*W$17)))</f>
        <v>5.543424959569315</v>
      </c>
      <c r="X334" s="150">
        <f t="shared" si="343"/>
        <v>6.05325219725146</v>
      </c>
    </row>
    <row r="335" spans="1:24" ht="12.75">
      <c r="A335" s="141">
        <v>318</v>
      </c>
      <c r="B335" s="142">
        <v>44</v>
      </c>
      <c r="C335" s="143">
        <f t="shared" si="344"/>
        <v>1117.6</v>
      </c>
      <c r="D335" s="143">
        <v>12.7</v>
      </c>
      <c r="E335" s="144" t="s">
        <v>82</v>
      </c>
      <c r="F335" s="144">
        <f t="shared" si="342"/>
        <v>346.055872849636</v>
      </c>
      <c r="G335" s="145">
        <f>IF($D$6=1,2,3)</f>
        <v>3</v>
      </c>
      <c r="H335" s="145">
        <f t="shared" si="345"/>
        <v>2</v>
      </c>
      <c r="I335" s="145">
        <f>IF(D335&lt;=19,2,3)</f>
        <v>2</v>
      </c>
      <c r="J335" s="146">
        <f>IF(D335&lt;=19,(D335-H335)*TAN($C$8*PI()/180),(19-H335)*TAN($C$8*PI()/180))</f>
        <v>8.210398771374875</v>
      </c>
      <c r="K335" s="147"/>
      <c r="L335" s="145">
        <f>IF(D335&lt;=19,0,(D335-19)*TAN($C$10*PI()/180))</f>
        <v>0</v>
      </c>
      <c r="M335" s="145">
        <f>+G335*(H335*1.5)</f>
        <v>9</v>
      </c>
      <c r="N335" s="145">
        <f>+G335*(D335-H335)</f>
        <v>32.099999999999994</v>
      </c>
      <c r="O335" s="145">
        <f>IF(D335&lt;=19,(D335-H335)*J335,(19-H335)*J335)</f>
        <v>87.85126685371115</v>
      </c>
      <c r="P335" s="145">
        <f>IF(D335&lt;=19,0,(J335*(D335-19)*2)+((L335)*(D335-19)))</f>
        <v>0</v>
      </c>
      <c r="Q335" s="145">
        <f>+(5+G335+(2*(J335+L335)))*I335</f>
        <v>48.8415950854995</v>
      </c>
      <c r="R335" s="147">
        <f>SUM(N335:Q335)</f>
        <v>168.79286193921064</v>
      </c>
      <c r="S335" s="147"/>
      <c r="T335" s="128">
        <f>IF(D$6=1,(PI()*(C335-(2*D335)+(2*H335))*M335*0.1*0.01*7.85*0.001/(T$16*T$17)),0)</f>
        <v>0</v>
      </c>
      <c r="U335" s="128">
        <f>IF(D$6=1,(PI()*(C335-(0.5*D335))*(R335)*0.1*0.01*7.85*0.001/(U$16*U$17)),0)</f>
        <v>0</v>
      </c>
      <c r="V335" s="150">
        <f>IF(D$6=1,0,(PI()*(C335-(2*D335)+(2*H335))*M335*0.1*0.01*7.85*0.001/(V$16*V$17)))</f>
        <v>0.5068863535292114</v>
      </c>
      <c r="W335" s="150">
        <f>IF(D$6=1,0,(PI()*(C335-(0.5*D335))*(R335)*0.1*0.01*7.85*0.001/(W$16*W$17)))</f>
        <v>8.895739089339175</v>
      </c>
      <c r="X335" s="150">
        <f t="shared" si="343"/>
        <v>9.402625442868386</v>
      </c>
    </row>
    <row r="336" spans="1:24" ht="12.75">
      <c r="A336" s="141">
        <v>319</v>
      </c>
      <c r="B336" s="142"/>
      <c r="C336" s="143"/>
      <c r="D336" s="143"/>
      <c r="E336" s="144"/>
      <c r="F336" s="144">
        <f t="shared" si="342"/>
        <v>0</v>
      </c>
      <c r="G336" s="145"/>
      <c r="H336" s="145">
        <f t="shared" si="345"/>
        <v>0</v>
      </c>
      <c r="I336" s="145"/>
      <c r="J336" s="146"/>
      <c r="K336" s="147"/>
      <c r="L336" s="145"/>
      <c r="M336" s="145"/>
      <c r="N336" s="145"/>
      <c r="O336" s="145"/>
      <c r="P336" s="145"/>
      <c r="Q336" s="145"/>
      <c r="R336" s="147"/>
      <c r="S336" s="147"/>
      <c r="T336" s="128"/>
      <c r="U336" s="128"/>
      <c r="V336" s="150"/>
      <c r="W336" s="150"/>
      <c r="X336" s="150">
        <f t="shared" si="343"/>
        <v>0</v>
      </c>
    </row>
    <row r="337" spans="1:24" ht="12.75">
      <c r="A337" s="141">
        <v>320</v>
      </c>
      <c r="B337" s="142">
        <v>46</v>
      </c>
      <c r="C337" s="143">
        <f t="shared" si="344"/>
        <v>1168.3999999999999</v>
      </c>
      <c r="D337" s="143">
        <v>9.52</v>
      </c>
      <c r="E337" s="144" t="s">
        <v>86</v>
      </c>
      <c r="F337" s="144">
        <f t="shared" si="342"/>
        <v>272.0789517357133</v>
      </c>
      <c r="G337" s="145">
        <f>IF($D$6=1,2,3)</f>
        <v>3</v>
      </c>
      <c r="H337" s="145">
        <f t="shared" si="345"/>
        <v>2</v>
      </c>
      <c r="I337" s="145">
        <f>IF(D337&lt;=19,2,3)</f>
        <v>2</v>
      </c>
      <c r="J337" s="146">
        <f>IF(D337&lt;=19,(D337-H337)*TAN($C$8*PI()/180),(19-H337)*TAN($C$8*PI()/180))</f>
        <v>5.770298949601782</v>
      </c>
      <c r="K337" s="147"/>
      <c r="L337" s="145">
        <f>IF(D337&lt;=19,0,(D337-19)*TAN($C$10*PI()/180))</f>
        <v>0</v>
      </c>
      <c r="M337" s="145">
        <f>+G337*(H337*1.5)</f>
        <v>9</v>
      </c>
      <c r="N337" s="145">
        <f>+G337*(D337-H337)</f>
        <v>22.56</v>
      </c>
      <c r="O337" s="145">
        <f>IF(D337&lt;=19,(D337-H337)*J337,(19-H337)*J337)</f>
        <v>43.39264810100539</v>
      </c>
      <c r="P337" s="145">
        <f>IF(D337&lt;=19,0,(J337*(D337-19)*2)+((L337)*(D337-19)))</f>
        <v>0</v>
      </c>
      <c r="Q337" s="145">
        <f>+(5+G337+(2*(J337+L337)))*I337</f>
        <v>39.08119579840712</v>
      </c>
      <c r="R337" s="147">
        <f>SUM(N337:Q337)</f>
        <v>105.03384389941252</v>
      </c>
      <c r="S337" s="147"/>
      <c r="T337" s="128">
        <f>IF(D$6=1,(PI()*(C337-(2*D337)+(2*H337))*M337*0.1*0.01*7.85*0.001/(T$16*T$17)),0)</f>
        <v>0</v>
      </c>
      <c r="U337" s="128">
        <f>IF(D$6=1,(PI()*(C337-(0.5*D337))*(R337)*0.1*0.01*7.85*0.001/(U$16*U$17)),0)</f>
        <v>0</v>
      </c>
      <c r="V337" s="150">
        <f>IF(D$6=1,0,(PI()*(C337-(2*D337)+(2*H337))*M337*0.1*0.01*7.85*0.001/(V$16*V$17)))</f>
        <v>0.5333173186521177</v>
      </c>
      <c r="W337" s="150">
        <f>IF(D$6=1,0,(PI()*(C337-(0.5*D337))*(R337)*0.1*0.01*7.85*0.001/(W$16*W$17)))</f>
        <v>5.7964766003677415</v>
      </c>
      <c r="X337" s="150">
        <f t="shared" si="343"/>
        <v>6.329793919019859</v>
      </c>
    </row>
    <row r="338" spans="1:24" ht="12.75">
      <c r="A338" s="141">
        <v>321</v>
      </c>
      <c r="B338" s="142">
        <v>46</v>
      </c>
      <c r="C338" s="143">
        <f t="shared" si="344"/>
        <v>1168.3999999999999</v>
      </c>
      <c r="D338" s="143">
        <v>12.7</v>
      </c>
      <c r="E338" s="144" t="s">
        <v>82</v>
      </c>
      <c r="F338" s="144">
        <f t="shared" si="342"/>
        <v>361.9664876932974</v>
      </c>
      <c r="G338" s="145">
        <f>IF($D$6=1,2,3)</f>
        <v>3</v>
      </c>
      <c r="H338" s="145">
        <f t="shared" si="345"/>
        <v>2</v>
      </c>
      <c r="I338" s="145">
        <f>IF(D338&lt;=19,2,3)</f>
        <v>2</v>
      </c>
      <c r="J338" s="146">
        <f>IF(D338&lt;=19,(D338-H338)*TAN($C$8*PI()/180),(19-H338)*TAN($C$8*PI()/180))</f>
        <v>8.210398771374875</v>
      </c>
      <c r="K338" s="147"/>
      <c r="L338" s="145">
        <f>IF(D338&lt;=19,0,(D338-19)*TAN($C$10*PI()/180))</f>
        <v>0</v>
      </c>
      <c r="M338" s="145">
        <f>+G338*(H338*1.5)</f>
        <v>9</v>
      </c>
      <c r="N338" s="145">
        <f>+G338*(D338-H338)</f>
        <v>32.099999999999994</v>
      </c>
      <c r="O338" s="145">
        <f>IF(D338&lt;=19,(D338-H338)*J338,(19-H338)*J338)</f>
        <v>87.85126685371115</v>
      </c>
      <c r="P338" s="145">
        <f>IF(D338&lt;=19,0,(J338*(D338-19)*2)+((L338)*(D338-19)))</f>
        <v>0</v>
      </c>
      <c r="Q338" s="145">
        <f>+(5+G338+(2*(J338+L338)))*I338</f>
        <v>48.8415950854995</v>
      </c>
      <c r="R338" s="147">
        <f>SUM(N338:Q338)</f>
        <v>168.79286193921064</v>
      </c>
      <c r="S338" s="147"/>
      <c r="T338" s="128">
        <f>IF(D$6=1,(PI()*(C338-(2*D338)+(2*H338))*M338*0.1*0.01*7.85*0.001/(T$16*T$17)),0)</f>
        <v>0</v>
      </c>
      <c r="U338" s="128">
        <f>IF(D$6=1,(PI()*(C338-(0.5*D338))*(R338)*0.1*0.01*7.85*0.001/(U$16*U$17)),0)</f>
        <v>0</v>
      </c>
      <c r="V338" s="150">
        <f>IF(D$6=1,0,(PI()*(C338-(2*D338)+(2*H338))*M338*0.1*0.01*7.85*0.001/(V$16*V$17)))</f>
        <v>0.5303764344991841</v>
      </c>
      <c r="W338" s="150">
        <f>IF(D$6=1,0,(PI()*(C338-(0.5*D338))*(R338)*0.1*0.01*7.85*0.001/(W$16*W$17)))</f>
        <v>9.302401447708966</v>
      </c>
      <c r="X338" s="150">
        <f t="shared" si="343"/>
        <v>9.83277788220815</v>
      </c>
    </row>
    <row r="339" spans="1:24" ht="12.75">
      <c r="A339" s="141">
        <v>322</v>
      </c>
      <c r="B339" s="142"/>
      <c r="C339" s="143"/>
      <c r="D339" s="143"/>
      <c r="E339" s="144"/>
      <c r="F339" s="144">
        <f t="shared" si="342"/>
        <v>0</v>
      </c>
      <c r="G339" s="145"/>
      <c r="H339" s="145">
        <f t="shared" si="345"/>
        <v>0</v>
      </c>
      <c r="I339" s="145"/>
      <c r="J339" s="146"/>
      <c r="K339" s="147"/>
      <c r="L339" s="145"/>
      <c r="M339" s="145"/>
      <c r="N339" s="145"/>
      <c r="O339" s="145"/>
      <c r="P339" s="145"/>
      <c r="Q339" s="145"/>
      <c r="R339" s="147"/>
      <c r="S339" s="147"/>
      <c r="T339" s="128"/>
      <c r="U339" s="128"/>
      <c r="V339" s="150"/>
      <c r="W339" s="150"/>
      <c r="X339" s="150">
        <f t="shared" si="343"/>
        <v>0</v>
      </c>
    </row>
    <row r="340" spans="1:24" ht="12.75">
      <c r="A340" s="141">
        <v>323</v>
      </c>
      <c r="B340" s="142">
        <v>48</v>
      </c>
      <c r="C340" s="143">
        <f>25.4*B340</f>
        <v>1219.1999999999998</v>
      </c>
      <c r="D340" s="143">
        <v>9.52</v>
      </c>
      <c r="E340" s="144" t="s">
        <v>86</v>
      </c>
      <c r="F340" s="144">
        <f t="shared" si="342"/>
        <v>284.00564884686736</v>
      </c>
      <c r="G340" s="145">
        <f>IF($D$6=1,2,3)</f>
        <v>3</v>
      </c>
      <c r="H340" s="145">
        <f t="shared" si="345"/>
        <v>2</v>
      </c>
      <c r="I340" s="145">
        <f>IF(D340&lt;=19,2,3)</f>
        <v>2</v>
      </c>
      <c r="J340" s="146">
        <f>IF(D340&lt;=19,(D340-H340)*TAN($C$8*PI()/180),(19-H340)*TAN($C$8*PI()/180))</f>
        <v>5.770298949601782</v>
      </c>
      <c r="K340" s="147"/>
      <c r="L340" s="145">
        <f>IF(D340&lt;=19,0,(D340-19)*TAN($C$10*PI()/180))</f>
        <v>0</v>
      </c>
      <c r="M340" s="145">
        <f>+G340*(H340*1.5)</f>
        <v>9</v>
      </c>
      <c r="N340" s="145">
        <f>+G340*(D340-H340)</f>
        <v>22.56</v>
      </c>
      <c r="O340" s="145">
        <f>IF(D340&lt;=19,(D340-H340)*J340,(19-H340)*J340)</f>
        <v>43.39264810100539</v>
      </c>
      <c r="P340" s="145">
        <f>IF(D340&lt;=19,0,(J340*(D340-19)*2)+((L340)*(D340-19)))</f>
        <v>0</v>
      </c>
      <c r="Q340" s="145">
        <f>+(5+G340+(2*(J340+L340)))*I340</f>
        <v>39.08119579840712</v>
      </c>
      <c r="R340" s="147">
        <f>SUM(N340:Q340)</f>
        <v>105.03384389941252</v>
      </c>
      <c r="S340" s="147"/>
      <c r="T340" s="128">
        <f>IF(D$6=1,(PI()*(C340-(2*D340)+(2*H340))*M340*0.1*0.01*7.85*0.001/(T$16*T$17)),0)</f>
        <v>0</v>
      </c>
      <c r="U340" s="128">
        <f>IF(D$6=1,(PI()*(C340-(0.5*D340))*(R340)*0.1*0.01*7.85*0.001/(U$16*U$17)),0)</f>
        <v>0</v>
      </c>
      <c r="V340" s="150">
        <f>IF(D$6=1,0,(PI()*(C340-(2*D340)+(2*H340))*M340*0.1*0.01*7.85*0.001/(V$16*V$17)))</f>
        <v>0.5568073996220902</v>
      </c>
      <c r="W340" s="150">
        <f>IF(D$6=1,0,(PI()*(C340-(0.5*D340))*(R340)*0.1*0.01*7.85*0.001/(W$16*W$17)))</f>
        <v>6.0495282411661675</v>
      </c>
      <c r="X340" s="150">
        <f t="shared" si="343"/>
        <v>6.606335640788258</v>
      </c>
    </row>
    <row r="341" spans="1:24" ht="12.75">
      <c r="A341" s="141">
        <v>324</v>
      </c>
      <c r="B341" s="142">
        <v>48</v>
      </c>
      <c r="C341" s="143">
        <f>25.4*B341</f>
        <v>1219.1999999999998</v>
      </c>
      <c r="D341" s="143">
        <v>12.7</v>
      </c>
      <c r="E341" s="144" t="s">
        <v>82</v>
      </c>
      <c r="F341" s="144">
        <f t="shared" si="342"/>
        <v>377.87710253695883</v>
      </c>
      <c r="G341" s="145">
        <f>IF($D$6=1,2,3)</f>
        <v>3</v>
      </c>
      <c r="H341" s="145">
        <f t="shared" si="345"/>
        <v>2</v>
      </c>
      <c r="I341" s="145">
        <f>IF(D341&lt;=19,2,3)</f>
        <v>2</v>
      </c>
      <c r="J341" s="146">
        <f>IF(D341&lt;=19,(D341-H341)*TAN($C$8*PI()/180),(19-H341)*TAN($C$8*PI()/180))</f>
        <v>8.210398771374875</v>
      </c>
      <c r="K341" s="147"/>
      <c r="L341" s="145">
        <f>IF(D341&lt;=19,0,(D341-19)*TAN($C$10*PI()/180))</f>
        <v>0</v>
      </c>
      <c r="M341" s="145">
        <f>+G341*(H341*1.5)</f>
        <v>9</v>
      </c>
      <c r="N341" s="145">
        <f>+G341*(D341-H341)</f>
        <v>32.099999999999994</v>
      </c>
      <c r="O341" s="145">
        <f>IF(D341&lt;=19,(D341-H341)*J341,(19-H341)*J341)</f>
        <v>87.85126685371115</v>
      </c>
      <c r="P341" s="145">
        <f>IF(D341&lt;=19,0,(J341*(D341-19)*2)+((L341)*(D341-19)))</f>
        <v>0</v>
      </c>
      <c r="Q341" s="145">
        <f>+(5+G341+(2*(J341+L341)))*I341</f>
        <v>48.8415950854995</v>
      </c>
      <c r="R341" s="147">
        <f>SUM(N341:Q341)</f>
        <v>168.79286193921064</v>
      </c>
      <c r="S341" s="147"/>
      <c r="T341" s="128">
        <f>IF(D$6=1,(PI()*(C341-(2*D341)+(2*H341))*M341*0.1*0.01*7.85*0.001/(T$16*T$17)),0)</f>
        <v>0</v>
      </c>
      <c r="U341" s="128">
        <f>IF(D$6=1,(PI()*(C341-(0.5*D341))*(R341)*0.1*0.01*7.85*0.001/(U$16*U$17)),0)</f>
        <v>0</v>
      </c>
      <c r="V341" s="150">
        <f>IF(D$6=1,0,(PI()*(C341-(2*D341)+(2*H341))*M341*0.1*0.01*7.85*0.001/(V$16*V$17)))</f>
        <v>0.5538665154691567</v>
      </c>
      <c r="W341" s="150">
        <f>IF(D$6=1,0,(PI()*(C341-(0.5*D341))*(R341)*0.1*0.01*7.85*0.001/(W$16*W$17)))</f>
        <v>9.709063806078758</v>
      </c>
      <c r="X341" s="150">
        <f t="shared" si="343"/>
        <v>10.262930321547914</v>
      </c>
    </row>
    <row r="342" spans="1:24" ht="12.75">
      <c r="A342" s="141">
        <v>325</v>
      </c>
      <c r="B342" s="142"/>
      <c r="C342" s="143"/>
      <c r="D342" s="143"/>
      <c r="E342" s="144"/>
      <c r="F342" s="144">
        <f>+PI()*D342*(C342-D342)*0.00785</f>
        <v>0</v>
      </c>
      <c r="G342" s="145"/>
      <c r="H342" s="145">
        <f t="shared" si="345"/>
        <v>0</v>
      </c>
      <c r="I342" s="145"/>
      <c r="J342" s="146"/>
      <c r="K342" s="147"/>
      <c r="L342" s="145"/>
      <c r="M342" s="145"/>
      <c r="N342" s="145"/>
      <c r="O342" s="145"/>
      <c r="P342" s="145"/>
      <c r="Q342" s="145"/>
      <c r="R342" s="147"/>
      <c r="S342" s="147"/>
      <c r="T342" s="128"/>
      <c r="U342" s="128"/>
      <c r="V342" s="150"/>
      <c r="W342" s="150"/>
      <c r="X342" s="150">
        <f>SUM(V342:W342)</f>
        <v>0</v>
      </c>
    </row>
    <row r="343" spans="1:24" ht="12.75">
      <c r="A343" s="141">
        <v>326</v>
      </c>
      <c r="B343" s="142">
        <v>50</v>
      </c>
      <c r="C343" s="143">
        <f aca="true" t="shared" si="346" ref="C343:C353">25.4*B343</f>
        <v>1270</v>
      </c>
      <c r="D343" s="143">
        <v>9.52</v>
      </c>
      <c r="E343" s="144" t="s">
        <v>86</v>
      </c>
      <c r="F343" s="144">
        <f aca="true" t="shared" si="347" ref="F343:F356">+PI()*D343*(C343-D343)*0.00785</f>
        <v>295.9323459580215</v>
      </c>
      <c r="G343" s="145">
        <f>IF($D$6=1,2,3)</f>
        <v>3</v>
      </c>
      <c r="H343" s="145">
        <f aca="true" t="shared" si="348" ref="H343:H356">IF(D343&lt;2,D343,2)</f>
        <v>2</v>
      </c>
      <c r="I343" s="145">
        <f>IF(D343&lt;=19,2,3)</f>
        <v>2</v>
      </c>
      <c r="J343" s="146">
        <f>IF(D343&lt;=19,(D343-H343)*TAN($C$8*PI()/180),(19-H343)*TAN($C$8*PI()/180))</f>
        <v>5.770298949601782</v>
      </c>
      <c r="K343" s="147"/>
      <c r="L343" s="145">
        <f>IF(D343&lt;=19,0,(D343-19)*TAN($C$10*PI()/180))</f>
        <v>0</v>
      </c>
      <c r="M343" s="145">
        <f>+G343*(H343*1.5)</f>
        <v>9</v>
      </c>
      <c r="N343" s="145">
        <f>+G343*(D343-H343)</f>
        <v>22.56</v>
      </c>
      <c r="O343" s="145">
        <f>IF(D343&lt;=19,(D343-H343)*J343,(19-H343)*J343)</f>
        <v>43.39264810100539</v>
      </c>
      <c r="P343" s="145">
        <f>IF(D343&lt;=19,0,(J343*(D343-19)*2)+((L343)*(D343-19)))</f>
        <v>0</v>
      </c>
      <c r="Q343" s="145">
        <f>+(5+G343+(2*(J343+L343)))*I343</f>
        <v>39.08119579840712</v>
      </c>
      <c r="R343" s="147">
        <f>SUM(N343:Q343)</f>
        <v>105.03384389941252</v>
      </c>
      <c r="S343" s="147"/>
      <c r="T343" s="128">
        <f>IF(D$6=1,(PI()*(C343-(2*D343)+(2*H343))*M343*0.1*0.01*7.85*0.001/(T$16*T$17)),0)</f>
        <v>0</v>
      </c>
      <c r="U343" s="128">
        <f>IF(D$6=1,(PI()*(C343-(0.5*D343))*(R343)*0.1*0.01*7.85*0.001/(U$16*U$17)),0)</f>
        <v>0</v>
      </c>
      <c r="V343" s="150">
        <f>IF(D$6=1,0,(PI()*(C343-(2*D343)+(2*H343))*M343*0.1*0.01*7.85*0.001/(V$16*V$17)))</f>
        <v>0.5802974805920629</v>
      </c>
      <c r="W343" s="150">
        <f>IF(D$6=1,0,(PI()*(C343-(0.5*D343))*(R343)*0.1*0.01*7.85*0.001/(W$16*W$17)))</f>
        <v>6.302579881964595</v>
      </c>
      <c r="X343" s="150">
        <f aca="true" t="shared" si="349" ref="X343:X356">SUM(V343:W343)</f>
        <v>6.882877362556658</v>
      </c>
    </row>
    <row r="344" spans="1:24" ht="12.75">
      <c r="A344" s="141">
        <v>327</v>
      </c>
      <c r="B344" s="142">
        <v>50</v>
      </c>
      <c r="C344" s="143">
        <f t="shared" si="346"/>
        <v>1270</v>
      </c>
      <c r="D344" s="143">
        <v>12.7</v>
      </c>
      <c r="E344" s="144" t="s">
        <v>82</v>
      </c>
      <c r="F344" s="144">
        <f t="shared" si="347"/>
        <v>393.7877173806203</v>
      </c>
      <c r="G344" s="145">
        <f>IF($D$6=1,2,3)</f>
        <v>3</v>
      </c>
      <c r="H344" s="145">
        <f t="shared" si="348"/>
        <v>2</v>
      </c>
      <c r="I344" s="145">
        <f>IF(D344&lt;=19,2,3)</f>
        <v>2</v>
      </c>
      <c r="J344" s="146">
        <f>IF(D344&lt;=19,(D344-H344)*TAN($C$8*PI()/180),(19-H344)*TAN($C$8*PI()/180))</f>
        <v>8.210398771374875</v>
      </c>
      <c r="K344" s="147"/>
      <c r="L344" s="145">
        <f>IF(D344&lt;=19,0,(D344-19)*TAN($C$10*PI()/180))</f>
        <v>0</v>
      </c>
      <c r="M344" s="145">
        <f>+G344*(H344*1.5)</f>
        <v>9</v>
      </c>
      <c r="N344" s="145">
        <f>+G344*(D344-H344)</f>
        <v>32.099999999999994</v>
      </c>
      <c r="O344" s="145">
        <f>IF(D344&lt;=19,(D344-H344)*J344,(19-H344)*J344)</f>
        <v>87.85126685371115</v>
      </c>
      <c r="P344" s="145">
        <f>IF(D344&lt;=19,0,(J344*(D344-19)*2)+((L344)*(D344-19)))</f>
        <v>0</v>
      </c>
      <c r="Q344" s="145">
        <f>+(5+G344+(2*(J344+L344)))*I344</f>
        <v>48.8415950854995</v>
      </c>
      <c r="R344" s="147">
        <f>SUM(N344:Q344)</f>
        <v>168.79286193921064</v>
      </c>
      <c r="S344" s="147"/>
      <c r="T344" s="128">
        <f>IF(D$6=1,(PI()*(C344-(2*D344)+(2*H344))*M344*0.1*0.01*7.85*0.001/(T$16*T$17)),0)</f>
        <v>0</v>
      </c>
      <c r="U344" s="128">
        <f>IF(D$6=1,(PI()*(C344-(0.5*D344))*(R344)*0.1*0.01*7.85*0.001/(U$16*U$17)),0)</f>
        <v>0</v>
      </c>
      <c r="V344" s="150">
        <f>IF(D$6=1,0,(PI()*(C344-(2*D344)+(2*H344))*M344*0.1*0.01*7.85*0.001/(V$16*V$17)))</f>
        <v>0.5773565964391292</v>
      </c>
      <c r="W344" s="150">
        <f>IF(D$6=1,0,(PI()*(C344-(0.5*D344))*(R344)*0.1*0.01*7.85*0.001/(W$16*W$17)))</f>
        <v>10.11572616444855</v>
      </c>
      <c r="X344" s="150">
        <f t="shared" si="349"/>
        <v>10.693082760887679</v>
      </c>
    </row>
    <row r="345" spans="1:24" ht="12.75">
      <c r="A345" s="141">
        <v>328</v>
      </c>
      <c r="B345" s="142"/>
      <c r="C345" s="143"/>
      <c r="D345" s="143"/>
      <c r="E345" s="144"/>
      <c r="F345" s="144">
        <f t="shared" si="347"/>
        <v>0</v>
      </c>
      <c r="G345" s="145"/>
      <c r="H345" s="145">
        <f t="shared" si="348"/>
        <v>0</v>
      </c>
      <c r="I345" s="145"/>
      <c r="J345" s="146"/>
      <c r="K345" s="147"/>
      <c r="L345" s="145"/>
      <c r="M345" s="145"/>
      <c r="N345" s="145"/>
      <c r="O345" s="145"/>
      <c r="P345" s="145"/>
      <c r="Q345" s="145"/>
      <c r="R345" s="147"/>
      <c r="S345" s="147"/>
      <c r="T345" s="128"/>
      <c r="U345" s="128"/>
      <c r="V345" s="150"/>
      <c r="W345" s="150"/>
      <c r="X345" s="150">
        <f t="shared" si="349"/>
        <v>0</v>
      </c>
    </row>
    <row r="346" spans="1:24" ht="12.75">
      <c r="A346" s="141">
        <v>329</v>
      </c>
      <c r="B346" s="142">
        <v>52</v>
      </c>
      <c r="C346" s="143">
        <f t="shared" si="346"/>
        <v>1320.8</v>
      </c>
      <c r="D346" s="143">
        <v>9.52</v>
      </c>
      <c r="E346" s="144" t="s">
        <v>86</v>
      </c>
      <c r="F346" s="144">
        <f t="shared" si="347"/>
        <v>307.8590430691756</v>
      </c>
      <c r="G346" s="145">
        <f>IF($D$6=1,2,3)</f>
        <v>3</v>
      </c>
      <c r="H346" s="145">
        <f t="shared" si="348"/>
        <v>2</v>
      </c>
      <c r="I346" s="145">
        <f>IF(D346&lt;=19,2,3)</f>
        <v>2</v>
      </c>
      <c r="J346" s="146">
        <f>IF(D346&lt;=19,(D346-H346)*TAN($C$8*PI()/180),(19-H346)*TAN($C$8*PI()/180))</f>
        <v>5.770298949601782</v>
      </c>
      <c r="K346" s="147"/>
      <c r="L346" s="145">
        <f>IF(D346&lt;=19,0,(D346-19)*TAN($C$10*PI()/180))</f>
        <v>0</v>
      </c>
      <c r="M346" s="145">
        <f>+G346*(H346*1.5)</f>
        <v>9</v>
      </c>
      <c r="N346" s="145">
        <f>+G346*(D346-H346)</f>
        <v>22.56</v>
      </c>
      <c r="O346" s="145">
        <f>IF(D346&lt;=19,(D346-H346)*J346,(19-H346)*J346)</f>
        <v>43.39264810100539</v>
      </c>
      <c r="P346" s="145">
        <f>IF(D346&lt;=19,0,(J346*(D346-19)*2)+((L346)*(D346-19)))</f>
        <v>0</v>
      </c>
      <c r="Q346" s="145">
        <f>+(5+G346+(2*(J346+L346)))*I346</f>
        <v>39.08119579840712</v>
      </c>
      <c r="R346" s="147">
        <f>SUM(N346:Q346)</f>
        <v>105.03384389941252</v>
      </c>
      <c r="S346" s="147"/>
      <c r="T346" s="128">
        <f>IF(D$6=1,(PI()*(C346-(2*D346)+(2*H346))*M346*0.1*0.01*7.85*0.001/(T$16*T$17)),0)</f>
        <v>0</v>
      </c>
      <c r="U346" s="128">
        <f>IF(D$6=1,(PI()*(C346-(0.5*D346))*(R346)*0.1*0.01*7.85*0.001/(U$16*U$17)),0)</f>
        <v>0</v>
      </c>
      <c r="V346" s="150">
        <f>IF(D$6=1,0,(PI()*(C346-(2*D346)+(2*H346))*M346*0.1*0.01*7.85*0.001/(V$16*V$17)))</f>
        <v>0.6037875615620356</v>
      </c>
      <c r="W346" s="150">
        <f>IF(D$6=1,0,(PI()*(C346-(0.5*D346))*(R346)*0.1*0.01*7.85*0.001/(W$16*W$17)))</f>
        <v>6.555631522763022</v>
      </c>
      <c r="X346" s="150">
        <f t="shared" si="349"/>
        <v>7.159419084325058</v>
      </c>
    </row>
    <row r="347" spans="1:24" ht="12.75">
      <c r="A347" s="141">
        <v>330</v>
      </c>
      <c r="B347" s="142">
        <v>52</v>
      </c>
      <c r="C347" s="143">
        <f t="shared" si="346"/>
        <v>1320.8</v>
      </c>
      <c r="D347" s="143">
        <v>12.7</v>
      </c>
      <c r="E347" s="144" t="s">
        <v>82</v>
      </c>
      <c r="F347" s="144">
        <f t="shared" si="347"/>
        <v>409.6983322242817</v>
      </c>
      <c r="G347" s="145">
        <f>IF($D$6=1,2,3)</f>
        <v>3</v>
      </c>
      <c r="H347" s="145">
        <f t="shared" si="348"/>
        <v>2</v>
      </c>
      <c r="I347" s="145">
        <f>IF(D347&lt;=19,2,3)</f>
        <v>2</v>
      </c>
      <c r="J347" s="146">
        <f>IF(D347&lt;=19,(D347-H347)*TAN($C$8*PI()/180),(19-H347)*TAN($C$8*PI()/180))</f>
        <v>8.210398771374875</v>
      </c>
      <c r="K347" s="147"/>
      <c r="L347" s="145">
        <f>IF(D347&lt;=19,0,(D347-19)*TAN($C$10*PI()/180))</f>
        <v>0</v>
      </c>
      <c r="M347" s="145">
        <f>+G347*(H347*1.5)</f>
        <v>9</v>
      </c>
      <c r="N347" s="145">
        <f>+G347*(D347-H347)</f>
        <v>32.099999999999994</v>
      </c>
      <c r="O347" s="145">
        <f>IF(D347&lt;=19,(D347-H347)*J347,(19-H347)*J347)</f>
        <v>87.85126685371115</v>
      </c>
      <c r="P347" s="145">
        <f>IF(D347&lt;=19,0,(J347*(D347-19)*2)+((L347)*(D347-19)))</f>
        <v>0</v>
      </c>
      <c r="Q347" s="145">
        <f>+(5+G347+(2*(J347+L347)))*I347</f>
        <v>48.8415950854995</v>
      </c>
      <c r="R347" s="147">
        <f>SUM(N347:Q347)</f>
        <v>168.79286193921064</v>
      </c>
      <c r="S347" s="147"/>
      <c r="T347" s="128">
        <f>IF(D$6=1,(PI()*(C347-(2*D347)+(2*H347))*M347*0.1*0.01*7.85*0.001/(T$16*T$17)),0)</f>
        <v>0</v>
      </c>
      <c r="U347" s="128">
        <f>IF(D$6=1,(PI()*(C347-(0.5*D347))*(R347)*0.1*0.01*7.85*0.001/(U$16*U$17)),0)</f>
        <v>0</v>
      </c>
      <c r="V347" s="150">
        <f>IF(D$6=1,0,(PI()*(C347-(2*D347)+(2*H347))*M347*0.1*0.01*7.85*0.001/(V$16*V$17)))</f>
        <v>0.6008466774091019</v>
      </c>
      <c r="W347" s="150">
        <f>IF(D$6=1,0,(PI()*(C347-(0.5*D347))*(R347)*0.1*0.01*7.85*0.001/(W$16*W$17)))</f>
        <v>10.52238852281834</v>
      </c>
      <c r="X347" s="150">
        <f t="shared" si="349"/>
        <v>11.123235200227441</v>
      </c>
    </row>
    <row r="348" spans="1:24" ht="12.75">
      <c r="A348" s="141">
        <v>331</v>
      </c>
      <c r="B348" s="142"/>
      <c r="C348" s="143"/>
      <c r="D348" s="143"/>
      <c r="E348" s="144"/>
      <c r="F348" s="144">
        <f t="shared" si="347"/>
        <v>0</v>
      </c>
      <c r="G348" s="145"/>
      <c r="H348" s="145">
        <f t="shared" si="348"/>
        <v>0</v>
      </c>
      <c r="I348" s="145"/>
      <c r="J348" s="146"/>
      <c r="K348" s="147"/>
      <c r="L348" s="145"/>
      <c r="M348" s="145"/>
      <c r="N348" s="145"/>
      <c r="O348" s="145"/>
      <c r="P348" s="145"/>
      <c r="Q348" s="145"/>
      <c r="R348" s="147"/>
      <c r="S348" s="147"/>
      <c r="T348" s="128"/>
      <c r="U348" s="128"/>
      <c r="V348" s="150"/>
      <c r="W348" s="150"/>
      <c r="X348" s="150">
        <f t="shared" si="349"/>
        <v>0</v>
      </c>
    </row>
    <row r="349" spans="1:24" ht="12.75">
      <c r="A349" s="141">
        <v>332</v>
      </c>
      <c r="B349" s="142">
        <v>54</v>
      </c>
      <c r="C349" s="143">
        <f t="shared" si="346"/>
        <v>1371.6</v>
      </c>
      <c r="D349" s="143">
        <v>9.52</v>
      </c>
      <c r="E349" s="144" t="s">
        <v>86</v>
      </c>
      <c r="F349" s="144">
        <f t="shared" si="347"/>
        <v>319.7857401803296</v>
      </c>
      <c r="G349" s="145">
        <f>IF($D$6=1,2,3)</f>
        <v>3</v>
      </c>
      <c r="H349" s="145">
        <f t="shared" si="348"/>
        <v>2</v>
      </c>
      <c r="I349" s="145">
        <f>IF(D349&lt;=19,2,3)</f>
        <v>2</v>
      </c>
      <c r="J349" s="146">
        <f>IF(D349&lt;=19,(D349-H349)*TAN($C$8*PI()/180),(19-H349)*TAN($C$8*PI()/180))</f>
        <v>5.770298949601782</v>
      </c>
      <c r="K349" s="147"/>
      <c r="L349" s="145">
        <f>IF(D349&lt;=19,0,(D349-19)*TAN($C$10*PI()/180))</f>
        <v>0</v>
      </c>
      <c r="M349" s="145">
        <f>+G349*(H349*1.5)</f>
        <v>9</v>
      </c>
      <c r="N349" s="145">
        <f>+G349*(D349-H349)</f>
        <v>22.56</v>
      </c>
      <c r="O349" s="145">
        <f>IF(D349&lt;=19,(D349-H349)*J349,(19-H349)*J349)</f>
        <v>43.39264810100539</v>
      </c>
      <c r="P349" s="145">
        <f>IF(D349&lt;=19,0,(J349*(D349-19)*2)+((L349)*(D349-19)))</f>
        <v>0</v>
      </c>
      <c r="Q349" s="145">
        <f>+(5+G349+(2*(J349+L349)))*I349</f>
        <v>39.08119579840712</v>
      </c>
      <c r="R349" s="147">
        <f>SUM(N349:Q349)</f>
        <v>105.03384389941252</v>
      </c>
      <c r="S349" s="147"/>
      <c r="T349" s="128">
        <f>IF(D$6=1,(PI()*(C349-(2*D349)+(2*H349))*M349*0.1*0.01*7.85*0.001/(T$16*T$17)),0)</f>
        <v>0</v>
      </c>
      <c r="U349" s="128">
        <f>IF(D$6=1,(PI()*(C349-(0.5*D349))*(R349)*0.1*0.01*7.85*0.001/(U$16*U$17)),0)</f>
        <v>0</v>
      </c>
      <c r="V349" s="150">
        <f>IF(D$6=1,0,(PI()*(C349-(2*D349)+(2*H349))*M349*0.1*0.01*7.85*0.001/(V$16*V$17)))</f>
        <v>0.627277642532008</v>
      </c>
      <c r="W349" s="150">
        <f>IF(D$6=1,0,(PI()*(C349-(0.5*D349))*(R349)*0.1*0.01*7.85*0.001/(W$16*W$17)))</f>
        <v>6.808683163561448</v>
      </c>
      <c r="X349" s="150">
        <f t="shared" si="349"/>
        <v>7.4359608060934566</v>
      </c>
    </row>
    <row r="350" spans="1:24" ht="12.75">
      <c r="A350" s="141">
        <v>333</v>
      </c>
      <c r="B350" s="142">
        <v>54</v>
      </c>
      <c r="C350" s="143">
        <f t="shared" si="346"/>
        <v>1371.6</v>
      </c>
      <c r="D350" s="143">
        <v>12.7</v>
      </c>
      <c r="E350" s="144" t="s">
        <v>82</v>
      </c>
      <c r="F350" s="144">
        <f t="shared" si="347"/>
        <v>425.6089470679431</v>
      </c>
      <c r="G350" s="145">
        <f>IF($D$6=1,2,3)</f>
        <v>3</v>
      </c>
      <c r="H350" s="145">
        <f t="shared" si="348"/>
        <v>2</v>
      </c>
      <c r="I350" s="145">
        <f>IF(D350&lt;=19,2,3)</f>
        <v>2</v>
      </c>
      <c r="J350" s="146">
        <f>IF(D350&lt;=19,(D350-H350)*TAN($C$8*PI()/180),(19-H350)*TAN($C$8*PI()/180))</f>
        <v>8.210398771374875</v>
      </c>
      <c r="K350" s="147"/>
      <c r="L350" s="145">
        <f>IF(D350&lt;=19,0,(D350-19)*TAN($C$10*PI()/180))</f>
        <v>0</v>
      </c>
      <c r="M350" s="145">
        <f>+G350*(H350*1.5)</f>
        <v>9</v>
      </c>
      <c r="N350" s="145">
        <f>+G350*(D350-H350)</f>
        <v>32.099999999999994</v>
      </c>
      <c r="O350" s="145">
        <f>IF(D350&lt;=19,(D350-H350)*J350,(19-H350)*J350)</f>
        <v>87.85126685371115</v>
      </c>
      <c r="P350" s="145">
        <f>IF(D350&lt;=19,0,(J350*(D350-19)*2)+((L350)*(D350-19)))</f>
        <v>0</v>
      </c>
      <c r="Q350" s="145">
        <f>+(5+G350+(2*(J350+L350)))*I350</f>
        <v>48.8415950854995</v>
      </c>
      <c r="R350" s="147">
        <f>SUM(N350:Q350)</f>
        <v>168.79286193921064</v>
      </c>
      <c r="S350" s="147"/>
      <c r="T350" s="128">
        <f>IF(D$6=1,(PI()*(C350-(2*D350)+(2*H350))*M350*0.1*0.01*7.85*0.001/(T$16*T$17)),0)</f>
        <v>0</v>
      </c>
      <c r="U350" s="128">
        <f>IF(D$6=1,(PI()*(C350-(0.5*D350))*(R350)*0.1*0.01*7.85*0.001/(U$16*U$17)),0)</f>
        <v>0</v>
      </c>
      <c r="V350" s="150">
        <f>IF(D$6=1,0,(PI()*(C350-(2*D350)+(2*H350))*M350*0.1*0.01*7.85*0.001/(V$16*V$17)))</f>
        <v>0.6243367583790743</v>
      </c>
      <c r="W350" s="150">
        <f>IF(D$6=1,0,(PI()*(C350-(0.5*D350))*(R350)*0.1*0.01*7.85*0.001/(W$16*W$17)))</f>
        <v>10.92905088118813</v>
      </c>
      <c r="X350" s="150">
        <f t="shared" si="349"/>
        <v>11.553387639567205</v>
      </c>
    </row>
    <row r="351" spans="1:24" ht="12.75">
      <c r="A351" s="141">
        <v>334</v>
      </c>
      <c r="B351" s="142"/>
      <c r="C351" s="143"/>
      <c r="D351" s="143"/>
      <c r="E351" s="144"/>
      <c r="F351" s="144">
        <f t="shared" si="347"/>
        <v>0</v>
      </c>
      <c r="G351" s="145"/>
      <c r="H351" s="145">
        <f t="shared" si="348"/>
        <v>0</v>
      </c>
      <c r="I351" s="145"/>
      <c r="J351" s="146"/>
      <c r="K351" s="147"/>
      <c r="L351" s="145"/>
      <c r="M351" s="145"/>
      <c r="N351" s="145"/>
      <c r="O351" s="145"/>
      <c r="P351" s="145"/>
      <c r="Q351" s="145"/>
      <c r="R351" s="147"/>
      <c r="S351" s="147"/>
      <c r="T351" s="128"/>
      <c r="U351" s="128"/>
      <c r="V351" s="150"/>
      <c r="W351" s="150"/>
      <c r="X351" s="150">
        <f t="shared" si="349"/>
        <v>0</v>
      </c>
    </row>
    <row r="352" spans="1:24" ht="12.75">
      <c r="A352" s="141">
        <v>335</v>
      </c>
      <c r="B352" s="142">
        <v>56</v>
      </c>
      <c r="C352" s="143">
        <f t="shared" si="346"/>
        <v>1422.3999999999999</v>
      </c>
      <c r="D352" s="143">
        <v>9.52</v>
      </c>
      <c r="E352" s="144" t="s">
        <v>86</v>
      </c>
      <c r="F352" s="144">
        <f t="shared" si="347"/>
        <v>331.7124372914837</v>
      </c>
      <c r="G352" s="145">
        <f>IF($D$6=1,2,3)</f>
        <v>3</v>
      </c>
      <c r="H352" s="145">
        <f t="shared" si="348"/>
        <v>2</v>
      </c>
      <c r="I352" s="145">
        <f>IF(D352&lt;=19,2,3)</f>
        <v>2</v>
      </c>
      <c r="J352" s="146">
        <f>IF(D352&lt;=19,(D352-H352)*TAN($C$8*PI()/180),(19-H352)*TAN($C$8*PI()/180))</f>
        <v>5.770298949601782</v>
      </c>
      <c r="K352" s="147"/>
      <c r="L352" s="145">
        <f>IF(D352&lt;=19,0,(D352-19)*TAN($C$10*PI()/180))</f>
        <v>0</v>
      </c>
      <c r="M352" s="145">
        <f>+G352*(H352*1.5)</f>
        <v>9</v>
      </c>
      <c r="N352" s="145">
        <f>+G352*(D352-H352)</f>
        <v>22.56</v>
      </c>
      <c r="O352" s="145">
        <f>IF(D352&lt;=19,(D352-H352)*J352,(19-H352)*J352)</f>
        <v>43.39264810100539</v>
      </c>
      <c r="P352" s="145">
        <f>IF(D352&lt;=19,0,(J352*(D352-19)*2)+((L352)*(D352-19)))</f>
        <v>0</v>
      </c>
      <c r="Q352" s="145">
        <f>+(5+G352+(2*(J352+L352)))*I352</f>
        <v>39.08119579840712</v>
      </c>
      <c r="R352" s="147">
        <f>SUM(N352:Q352)</f>
        <v>105.03384389941252</v>
      </c>
      <c r="S352" s="147"/>
      <c r="T352" s="128">
        <f>IF(D$6=1,(PI()*(C352-(2*D352)+(2*H352))*M352*0.1*0.01*7.85*0.001/(T$16*T$17)),0)</f>
        <v>0</v>
      </c>
      <c r="U352" s="128">
        <f>IF(D$6=1,(PI()*(C352-(0.5*D352))*(R352)*0.1*0.01*7.85*0.001/(U$16*U$17)),0)</f>
        <v>0</v>
      </c>
      <c r="V352" s="150">
        <f>IF(D$6=1,0,(PI()*(C352-(2*D352)+(2*H352))*M352*0.1*0.01*7.85*0.001/(V$16*V$17)))</f>
        <v>0.6507677235019804</v>
      </c>
      <c r="W352" s="150">
        <f>IF(D$6=1,0,(PI()*(C352-(0.5*D352))*(R352)*0.1*0.01*7.85*0.001/(W$16*W$17)))</f>
        <v>7.061734804359876</v>
      </c>
      <c r="X352" s="150">
        <f t="shared" si="349"/>
        <v>7.712502527861856</v>
      </c>
    </row>
    <row r="353" spans="1:24" ht="12.75">
      <c r="A353" s="141">
        <v>336</v>
      </c>
      <c r="B353" s="142">
        <v>56</v>
      </c>
      <c r="C353" s="143">
        <f t="shared" si="346"/>
        <v>1422.3999999999999</v>
      </c>
      <c r="D353" s="143">
        <v>12.7</v>
      </c>
      <c r="E353" s="144" t="s">
        <v>82</v>
      </c>
      <c r="F353" s="144">
        <f t="shared" si="347"/>
        <v>441.5195619116045</v>
      </c>
      <c r="G353" s="145">
        <f>IF($D$6=1,2,3)</f>
        <v>3</v>
      </c>
      <c r="H353" s="145">
        <f t="shared" si="348"/>
        <v>2</v>
      </c>
      <c r="I353" s="145">
        <f>IF(D353&lt;=19,2,3)</f>
        <v>2</v>
      </c>
      <c r="J353" s="146">
        <f>IF(D353&lt;=19,(D353-H353)*TAN($C$8*PI()/180),(19-H353)*TAN($C$8*PI()/180))</f>
        <v>8.210398771374875</v>
      </c>
      <c r="K353" s="147"/>
      <c r="L353" s="145">
        <f>IF(D353&lt;=19,0,(D353-19)*TAN($C$10*PI()/180))</f>
        <v>0</v>
      </c>
      <c r="M353" s="145">
        <f>+G353*(H353*1.5)</f>
        <v>9</v>
      </c>
      <c r="N353" s="145">
        <f>+G353*(D353-H353)</f>
        <v>32.099999999999994</v>
      </c>
      <c r="O353" s="145">
        <f>IF(D353&lt;=19,(D353-H353)*J353,(19-H353)*J353)</f>
        <v>87.85126685371115</v>
      </c>
      <c r="P353" s="145">
        <f>IF(D353&lt;=19,0,(J353*(D353-19)*2)+((L353)*(D353-19)))</f>
        <v>0</v>
      </c>
      <c r="Q353" s="145">
        <f>+(5+G353+(2*(J353+L353)))*I353</f>
        <v>48.8415950854995</v>
      </c>
      <c r="R353" s="147">
        <f>SUM(N353:Q353)</f>
        <v>168.79286193921064</v>
      </c>
      <c r="S353" s="147"/>
      <c r="T353" s="128">
        <f>IF(D$6=1,(PI()*(C353-(2*D353)+(2*H353))*M353*0.1*0.01*7.85*0.001/(T$16*T$17)),0)</f>
        <v>0</v>
      </c>
      <c r="U353" s="128">
        <f>IF(D$6=1,(PI()*(C353-(0.5*D353))*(R353)*0.1*0.01*7.85*0.001/(U$16*U$17)),0)</f>
        <v>0</v>
      </c>
      <c r="V353" s="150">
        <f>IF(D$6=1,0,(PI()*(C353-(2*D353)+(2*H353))*M353*0.1*0.01*7.85*0.001/(V$16*V$17)))</f>
        <v>0.647826839349047</v>
      </c>
      <c r="W353" s="150">
        <f>IF(D$6=1,0,(PI()*(C353-(0.5*D353))*(R353)*0.1*0.01*7.85*0.001/(W$16*W$17)))</f>
        <v>11.33571323955792</v>
      </c>
      <c r="X353" s="150">
        <f t="shared" si="349"/>
        <v>11.983540078906968</v>
      </c>
    </row>
    <row r="354" spans="1:24" ht="12.75">
      <c r="A354" s="141">
        <v>337</v>
      </c>
      <c r="B354" s="142"/>
      <c r="C354" s="143"/>
      <c r="D354" s="143"/>
      <c r="E354" s="144"/>
      <c r="F354" s="144">
        <f t="shared" si="347"/>
        <v>0</v>
      </c>
      <c r="G354" s="145"/>
      <c r="H354" s="145">
        <f t="shared" si="348"/>
        <v>0</v>
      </c>
      <c r="I354" s="145"/>
      <c r="J354" s="146"/>
      <c r="K354" s="147"/>
      <c r="L354" s="145"/>
      <c r="M354" s="145"/>
      <c r="N354" s="145"/>
      <c r="O354" s="145"/>
      <c r="P354" s="145"/>
      <c r="Q354" s="145"/>
      <c r="R354" s="147"/>
      <c r="S354" s="147"/>
      <c r="T354" s="128"/>
      <c r="U354" s="128"/>
      <c r="V354" s="150"/>
      <c r="W354" s="150"/>
      <c r="X354" s="150">
        <f t="shared" si="349"/>
        <v>0</v>
      </c>
    </row>
    <row r="355" spans="1:24" ht="12.75">
      <c r="A355" s="141">
        <v>338</v>
      </c>
      <c r="B355" s="142">
        <v>58</v>
      </c>
      <c r="C355" s="143">
        <f>25.4*B355</f>
        <v>1473.1999999999998</v>
      </c>
      <c r="D355" s="143">
        <v>9.52</v>
      </c>
      <c r="E355" s="144" t="s">
        <v>86</v>
      </c>
      <c r="F355" s="144">
        <f t="shared" si="347"/>
        <v>343.6391344026377</v>
      </c>
      <c r="G355" s="145">
        <f>IF($D$6=1,2,3)</f>
        <v>3</v>
      </c>
      <c r="H355" s="145">
        <f t="shared" si="348"/>
        <v>2</v>
      </c>
      <c r="I355" s="145">
        <f>IF(D355&lt;=19,2,3)</f>
        <v>2</v>
      </c>
      <c r="J355" s="146">
        <f>IF(D355&lt;=19,(D355-H355)*TAN($C$8*PI()/180),(19-H355)*TAN($C$8*PI()/180))</f>
        <v>5.770298949601782</v>
      </c>
      <c r="K355" s="147"/>
      <c r="L355" s="145">
        <f>IF(D355&lt;=19,0,(D355-19)*TAN($C$10*PI()/180))</f>
        <v>0</v>
      </c>
      <c r="M355" s="145">
        <f>+G355*(H355*1.5)</f>
        <v>9</v>
      </c>
      <c r="N355" s="145">
        <f>+G355*(D355-H355)</f>
        <v>22.56</v>
      </c>
      <c r="O355" s="145">
        <f>IF(D355&lt;=19,(D355-H355)*J355,(19-H355)*J355)</f>
        <v>43.39264810100539</v>
      </c>
      <c r="P355" s="145">
        <f>IF(D355&lt;=19,0,(J355*(D355-19)*2)+((L355)*(D355-19)))</f>
        <v>0</v>
      </c>
      <c r="Q355" s="145">
        <f>+(5+G355+(2*(J355+L355)))*I355</f>
        <v>39.08119579840712</v>
      </c>
      <c r="R355" s="147">
        <f>SUM(N355:Q355)</f>
        <v>105.03384389941252</v>
      </c>
      <c r="S355" s="147"/>
      <c r="T355" s="128">
        <f>IF(D$6=1,(PI()*(C355-(2*D355)+(2*H355))*M355*0.1*0.01*7.85*0.001/(T$16*T$17)),0)</f>
        <v>0</v>
      </c>
      <c r="U355" s="128">
        <f>IF(D$6=1,(PI()*(C355-(0.5*D355))*(R355)*0.1*0.01*7.85*0.001/(U$16*U$17)),0)</f>
        <v>0</v>
      </c>
      <c r="V355" s="150">
        <f>IF(D$6=1,0,(PI()*(C355-(2*D355)+(2*H355))*M355*0.1*0.01*7.85*0.001/(V$16*V$17)))</f>
        <v>0.6742578044719532</v>
      </c>
      <c r="W355" s="150">
        <f>IF(D$6=1,0,(PI()*(C355-(0.5*D355))*(R355)*0.1*0.01*7.85*0.001/(W$16*W$17)))</f>
        <v>7.314786445158301</v>
      </c>
      <c r="X355" s="150">
        <f t="shared" si="349"/>
        <v>7.989044249630254</v>
      </c>
    </row>
    <row r="356" spans="1:24" ht="12.75">
      <c r="A356" s="141">
        <v>339</v>
      </c>
      <c r="B356" s="142">
        <v>58</v>
      </c>
      <c r="C356" s="143">
        <f>25.4*B356</f>
        <v>1473.1999999999998</v>
      </c>
      <c r="D356" s="143">
        <v>12.7</v>
      </c>
      <c r="E356" s="144" t="s">
        <v>82</v>
      </c>
      <c r="F356" s="144">
        <f t="shared" si="347"/>
        <v>457.43017675526596</v>
      </c>
      <c r="G356" s="145">
        <f>IF($D$6=1,2,3)</f>
        <v>3</v>
      </c>
      <c r="H356" s="145">
        <f t="shared" si="348"/>
        <v>2</v>
      </c>
      <c r="I356" s="145">
        <f>IF(D356&lt;=19,2,3)</f>
        <v>2</v>
      </c>
      <c r="J356" s="146">
        <f>IF(D356&lt;=19,(D356-H356)*TAN($C$8*PI()/180),(19-H356)*TAN($C$8*PI()/180))</f>
        <v>8.210398771374875</v>
      </c>
      <c r="K356" s="147"/>
      <c r="L356" s="145">
        <f>IF(D356&lt;=19,0,(D356-19)*TAN($C$10*PI()/180))</f>
        <v>0</v>
      </c>
      <c r="M356" s="145">
        <f>+G356*(H356*1.5)</f>
        <v>9</v>
      </c>
      <c r="N356" s="145">
        <f>+G356*(D356-H356)</f>
        <v>32.099999999999994</v>
      </c>
      <c r="O356" s="145">
        <f>IF(D356&lt;=19,(D356-H356)*J356,(19-H356)*J356)</f>
        <v>87.85126685371115</v>
      </c>
      <c r="P356" s="145">
        <f>IF(D356&lt;=19,0,(J356*(D356-19)*2)+((L356)*(D356-19)))</f>
        <v>0</v>
      </c>
      <c r="Q356" s="145">
        <f>+(5+G356+(2*(J356+L356)))*I356</f>
        <v>48.8415950854995</v>
      </c>
      <c r="R356" s="147">
        <f>SUM(N356:Q356)</f>
        <v>168.79286193921064</v>
      </c>
      <c r="S356" s="147"/>
      <c r="T356" s="128">
        <f>IF(D$6=1,(PI()*(C356-(2*D356)+(2*H356))*M356*0.1*0.01*7.85*0.001/(T$16*T$17)),0)</f>
        <v>0</v>
      </c>
      <c r="U356" s="128">
        <f>IF(D$6=1,(PI()*(C356-(0.5*D356))*(R356)*0.1*0.01*7.85*0.001/(U$16*U$17)),0)</f>
        <v>0</v>
      </c>
      <c r="V356" s="150">
        <f>IF(D$6=1,0,(PI()*(C356-(2*D356)+(2*H356))*M356*0.1*0.01*7.85*0.001/(V$16*V$17)))</f>
        <v>0.6713169203190196</v>
      </c>
      <c r="W356" s="150">
        <f>IF(D$6=1,0,(PI()*(C356-(0.5*D356))*(R356)*0.1*0.01*7.85*0.001/(W$16*W$17)))</f>
        <v>11.742375597927712</v>
      </c>
      <c r="X356" s="150">
        <f t="shared" si="349"/>
        <v>12.413692518246732</v>
      </c>
    </row>
    <row r="357" spans="1:24" ht="12.75">
      <c r="A357" s="141">
        <v>340</v>
      </c>
      <c r="B357" s="142"/>
      <c r="C357" s="143"/>
      <c r="D357" s="143"/>
      <c r="E357" s="144"/>
      <c r="F357" s="144">
        <f>+PI()*D357*(C357-D357)*0.00785</f>
        <v>0</v>
      </c>
      <c r="G357" s="145"/>
      <c r="H357" s="145">
        <f>IF(D357&lt;2,D357,2)</f>
        <v>0</v>
      </c>
      <c r="I357" s="145"/>
      <c r="J357" s="146"/>
      <c r="K357" s="147"/>
      <c r="L357" s="145"/>
      <c r="M357" s="145"/>
      <c r="N357" s="145"/>
      <c r="O357" s="145"/>
      <c r="P357" s="145"/>
      <c r="Q357" s="145"/>
      <c r="R357" s="147"/>
      <c r="S357" s="147"/>
      <c r="T357" s="128"/>
      <c r="U357" s="128"/>
      <c r="V357" s="150"/>
      <c r="W357" s="150"/>
      <c r="X357" s="150">
        <f>SUM(V357:W357)</f>
        <v>0</v>
      </c>
    </row>
    <row r="358" spans="1:24" ht="12.75">
      <c r="A358" s="141">
        <v>341</v>
      </c>
      <c r="B358" s="142">
        <v>60</v>
      </c>
      <c r="C358" s="143">
        <f>25.4*B358</f>
        <v>1524</v>
      </c>
      <c r="D358" s="143">
        <v>9.52</v>
      </c>
      <c r="E358" s="144" t="s">
        <v>86</v>
      </c>
      <c r="F358" s="144">
        <f>+PI()*D358*(C358-D358)*0.00785</f>
        <v>355.56583151379186</v>
      </c>
      <c r="G358" s="145">
        <f>IF($D$6=1,2,3)</f>
        <v>3</v>
      </c>
      <c r="H358" s="145">
        <f>IF(D358&lt;2,D358,2)</f>
        <v>2</v>
      </c>
      <c r="I358" s="145">
        <f>IF(D358&lt;=19,2,3)</f>
        <v>2</v>
      </c>
      <c r="J358" s="146">
        <f>IF(D358&lt;=19,(D358-H358)*TAN($C$8*PI()/180),(19-H358)*TAN($C$8*PI()/180))</f>
        <v>5.770298949601782</v>
      </c>
      <c r="K358" s="147"/>
      <c r="L358" s="145">
        <f>IF(D358&lt;=19,0,(D358-19)*TAN($C$10*PI()/180))</f>
        <v>0</v>
      </c>
      <c r="M358" s="145">
        <f>+G358*(H358*1.5)</f>
        <v>9</v>
      </c>
      <c r="N358" s="145">
        <f>+G358*(D358-H358)</f>
        <v>22.56</v>
      </c>
      <c r="O358" s="145">
        <f>IF(D358&lt;=19,(D358-H358)*J358,(19-H358)*J358)</f>
        <v>43.39264810100539</v>
      </c>
      <c r="P358" s="145">
        <f>IF(D358&lt;=19,0,(J358*(D358-19)*2)+((L358)*(D358-19)))</f>
        <v>0</v>
      </c>
      <c r="Q358" s="145">
        <f>+(5+G358+(2*(J358+L358)))*I358</f>
        <v>39.08119579840712</v>
      </c>
      <c r="R358" s="147">
        <f>SUM(N358:Q358)</f>
        <v>105.03384389941252</v>
      </c>
      <c r="S358" s="147"/>
      <c r="T358" s="128">
        <f>IF(D$6=1,(PI()*(C358-(2*D358)+(2*H358))*M358*0.1*0.01*7.85*0.001/(T$16*T$17)),0)</f>
        <v>0</v>
      </c>
      <c r="U358" s="128">
        <f>IF(D$6=1,(PI()*(C358-(0.5*D358))*(R358)*0.1*0.01*7.85*0.001/(U$16*U$17)),0)</f>
        <v>0</v>
      </c>
      <c r="V358" s="150">
        <f>IF(D$6=1,0,(PI()*(C358-(2*D358)+(2*H358))*M358*0.1*0.01*7.85*0.001/(V$16*V$17)))</f>
        <v>0.6977478854419261</v>
      </c>
      <c r="W358" s="150">
        <f>IF(D$6=1,0,(PI()*(C358-(0.5*D358))*(R358)*0.1*0.01*7.85*0.001/(W$16*W$17)))</f>
        <v>7.567838085956729</v>
      </c>
      <c r="X358" s="150">
        <f>SUM(V358:W358)</f>
        <v>8.265585971398655</v>
      </c>
    </row>
    <row r="359" spans="1:24" ht="12.75">
      <c r="A359" s="141">
        <v>342</v>
      </c>
      <c r="B359" s="142">
        <v>60</v>
      </c>
      <c r="C359" s="143">
        <f>25.4*B359</f>
        <v>1524</v>
      </c>
      <c r="D359" s="143">
        <v>12.7</v>
      </c>
      <c r="E359" s="144" t="s">
        <v>82</v>
      </c>
      <c r="F359" s="144">
        <f>+PI()*D359*(C359-D359)*0.00785</f>
        <v>473.3407915989274</v>
      </c>
      <c r="G359" s="145">
        <f>IF($D$6=1,2,3)</f>
        <v>3</v>
      </c>
      <c r="H359" s="145">
        <f>IF(D359&lt;2,D359,2)</f>
        <v>2</v>
      </c>
      <c r="I359" s="145">
        <f>IF(D359&lt;=19,2,3)</f>
        <v>2</v>
      </c>
      <c r="J359" s="146">
        <f>IF(D359&lt;=19,(D359-H359)*TAN($C$8*PI()/180),(19-H359)*TAN($C$8*PI()/180))</f>
        <v>8.210398771374875</v>
      </c>
      <c r="K359" s="147"/>
      <c r="L359" s="145">
        <f>IF(D359&lt;=19,0,(D359-19)*TAN($C$10*PI()/180))</f>
        <v>0</v>
      </c>
      <c r="M359" s="145">
        <f>+G359*(H359*1.5)</f>
        <v>9</v>
      </c>
      <c r="N359" s="145">
        <f>+G359*(D359-H359)</f>
        <v>32.099999999999994</v>
      </c>
      <c r="O359" s="145">
        <f>IF(D359&lt;=19,(D359-H359)*J359,(19-H359)*J359)</f>
        <v>87.85126685371115</v>
      </c>
      <c r="P359" s="145">
        <f>IF(D359&lt;=19,0,(J359*(D359-19)*2)+((L359)*(D359-19)))</f>
        <v>0</v>
      </c>
      <c r="Q359" s="145">
        <f>+(5+G359+(2*(J359+L359)))*I359</f>
        <v>48.8415950854995</v>
      </c>
      <c r="R359" s="147">
        <f>SUM(N359:Q359)</f>
        <v>168.79286193921064</v>
      </c>
      <c r="S359" s="147"/>
      <c r="T359" s="128">
        <f>IF(D$6=1,(PI()*(C359-(2*D359)+(2*H359))*M359*0.1*0.01*7.85*0.001/(T$16*T$17)),0)</f>
        <v>0</v>
      </c>
      <c r="U359" s="128">
        <f>IF(D$6=1,(PI()*(C359-(0.5*D359))*(R359)*0.1*0.01*7.85*0.001/(U$16*U$17)),0)</f>
        <v>0</v>
      </c>
      <c r="V359" s="150">
        <f>IF(D$6=1,0,(PI()*(C359-(2*D359)+(2*H359))*M359*0.1*0.01*7.85*0.001/(V$16*V$17)))</f>
        <v>0.6948070012889923</v>
      </c>
      <c r="W359" s="150">
        <f>IF(D$6=1,0,(PI()*(C359-(0.5*D359))*(R359)*0.1*0.01*7.85*0.001/(W$16*W$17)))</f>
        <v>12.149037956297503</v>
      </c>
      <c r="X359" s="150">
        <f>SUM(V359:W359)</f>
        <v>12.843844957586496</v>
      </c>
    </row>
    <row r="360" spans="1:24" ht="12.75">
      <c r="A360" s="148"/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</row>
  </sheetData>
  <sheetProtection/>
  <dataValidations count="1">
    <dataValidation allowBlank="1" showInputMessage="1" showErrorMessage="1" promptTitle="DATA  INPUT" prompt="All calculation are for SMAW unless  you  enter Value  &quot;1&quot;  in cell  D6 to get values for Root Pass GTAW. All other  Passes Arc Welding. " sqref="D6:F6"/>
  </dataValidations>
  <printOptions horizontalCentered="1"/>
  <pageMargins left="0.25" right="0.25" top="0.5" bottom="0.5" header="0.25" footer="0.25"/>
  <pageSetup fitToHeight="4" fitToWidth="2" horizontalDpi="300" verticalDpi="300" orientation="landscape" paperSize="9" scale="70" r:id="rId2"/>
  <headerFooter alignWithMargins="0">
    <oddHeader>&amp;L&amp;D   &amp;T&amp;CALL PASSES ARC WELDING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0"/>
  <sheetViews>
    <sheetView showGridLines="0" zoomScalePageLayoutView="0" workbookViewId="0" topLeftCell="A1">
      <pane ySplit="16" topLeftCell="A275" activePane="bottomLeft" state="frozen"/>
      <selection pane="topLeft" activeCell="A1" sqref="A1"/>
      <selection pane="bottomLeft" activeCell="O269" sqref="O269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8.57421875" style="0" customWidth="1"/>
    <col min="4" max="4" width="8.00390625" style="0" customWidth="1"/>
    <col min="5" max="5" width="11.7109375" style="0" bestFit="1" customWidth="1"/>
    <col min="6" max="6" width="6.421875" style="0" customWidth="1"/>
    <col min="7" max="7" width="6.7109375" style="0" customWidth="1"/>
    <col min="8" max="8" width="7.7109375" style="0" customWidth="1"/>
    <col min="9" max="9" width="6.7109375" style="0" customWidth="1"/>
    <col min="10" max="10" width="1.8515625" style="0" customWidth="1"/>
    <col min="11" max="11" width="6.7109375" style="0" customWidth="1"/>
    <col min="12" max="12" width="7.7109375" style="0" customWidth="1"/>
    <col min="13" max="14" width="7.8515625" style="0" customWidth="1"/>
    <col min="15" max="15" width="9.421875" style="0" customWidth="1"/>
    <col min="16" max="16" width="8.28125" style="0" customWidth="1"/>
    <col min="17" max="17" width="7.7109375" style="0" customWidth="1"/>
    <col min="18" max="18" width="2.140625" style="0" customWidth="1"/>
    <col min="19" max="19" width="7.8515625" style="0" customWidth="1"/>
    <col min="20" max="22" width="8.7109375" style="0" customWidth="1"/>
  </cols>
  <sheetData>
    <row r="1" spans="1:22" ht="15.75">
      <c r="A1" s="39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4" t="s">
        <v>33</v>
      </c>
      <c r="T1" s="12"/>
      <c r="U1" s="12"/>
      <c r="V1" s="45">
        <v>36321</v>
      </c>
    </row>
    <row r="2" spans="1:22" ht="12.75">
      <c r="A2" s="10"/>
      <c r="B2" s="33"/>
      <c r="C2" s="12"/>
      <c r="D2" s="12"/>
      <c r="E2" s="12"/>
      <c r="F2" s="12"/>
      <c r="G2" s="12"/>
      <c r="H2" s="12"/>
      <c r="I2" s="4" t="s">
        <v>20</v>
      </c>
      <c r="J2" s="12"/>
      <c r="K2" s="4"/>
      <c r="L2" s="9" t="s">
        <v>32</v>
      </c>
      <c r="M2" s="8" t="s">
        <v>4</v>
      </c>
      <c r="N2" s="12"/>
      <c r="O2" s="12"/>
      <c r="P2" s="12"/>
      <c r="Q2" s="4" t="s">
        <v>39</v>
      </c>
      <c r="R2" s="12"/>
      <c r="S2" s="44"/>
      <c r="T2" s="12"/>
      <c r="U2" s="12"/>
      <c r="V2" s="45"/>
    </row>
    <row r="3" spans="1:22" ht="12.75">
      <c r="A3" s="10"/>
      <c r="B3" s="11"/>
      <c r="C3" s="12"/>
      <c r="D3" s="12"/>
      <c r="E3" s="12"/>
      <c r="F3" s="12"/>
      <c r="G3" s="36" t="s">
        <v>16</v>
      </c>
      <c r="H3" s="12"/>
      <c r="I3" s="8"/>
      <c r="J3" s="12"/>
      <c r="K3" s="4"/>
      <c r="L3" s="12"/>
      <c r="M3" s="12"/>
      <c r="N3" s="12"/>
      <c r="O3" s="12"/>
      <c r="P3" s="12"/>
      <c r="Q3" s="8"/>
      <c r="R3" s="12"/>
      <c r="S3" s="4"/>
      <c r="T3" s="12"/>
      <c r="U3" s="12"/>
      <c r="V3" s="12"/>
    </row>
    <row r="4" spans="6:22" ht="9" customHeight="1">
      <c r="F4" s="12"/>
      <c r="G4" s="12"/>
      <c r="H4" s="12"/>
      <c r="I4" s="7" t="s">
        <v>19</v>
      </c>
      <c r="J4" s="8"/>
      <c r="K4" s="12"/>
      <c r="L4" s="12"/>
      <c r="M4" s="8"/>
      <c r="N4" s="12"/>
      <c r="O4" s="12"/>
      <c r="P4" s="12"/>
      <c r="Q4" s="7"/>
      <c r="R4" s="8"/>
      <c r="S4" s="12"/>
      <c r="T4" s="12"/>
      <c r="U4" s="12"/>
      <c r="V4" s="8"/>
    </row>
    <row r="5" spans="1:22" ht="34.5" customHeight="1">
      <c r="A5" s="32" t="s">
        <v>24</v>
      </c>
      <c r="B5" s="4"/>
      <c r="C5" s="12"/>
      <c r="D5" s="12"/>
      <c r="E5" s="12"/>
      <c r="G5" s="12"/>
      <c r="H5" s="12"/>
      <c r="I5" s="5" t="s">
        <v>18</v>
      </c>
      <c r="J5" s="13"/>
      <c r="K5" s="9" t="s">
        <v>29</v>
      </c>
      <c r="L5" s="12"/>
      <c r="M5" s="12"/>
      <c r="N5" s="12"/>
      <c r="O5" s="42" t="s">
        <v>4</v>
      </c>
      <c r="P5" s="12"/>
      <c r="Q5" s="5" t="s">
        <v>40</v>
      </c>
      <c r="R5" s="40"/>
      <c r="S5" s="9" t="s">
        <v>78</v>
      </c>
      <c r="T5" s="12"/>
      <c r="U5" s="12"/>
      <c r="V5" s="41"/>
    </row>
    <row r="6" spans="1:22" ht="16.5" customHeight="1">
      <c r="A6" s="12" t="s">
        <v>27</v>
      </c>
      <c r="B6" s="12"/>
      <c r="D6" s="123">
        <v>1</v>
      </c>
      <c r="E6" s="123"/>
      <c r="G6" s="12"/>
      <c r="H6" s="12"/>
      <c r="I6" s="8" t="s">
        <v>14</v>
      </c>
      <c r="J6" s="14"/>
      <c r="K6" s="8"/>
      <c r="L6" s="12"/>
      <c r="M6" s="43" t="s">
        <v>42</v>
      </c>
      <c r="N6" s="12"/>
      <c r="O6" s="12"/>
      <c r="P6" s="12"/>
      <c r="Q6" s="8" t="s">
        <v>14</v>
      </c>
      <c r="R6" s="14"/>
      <c r="S6" s="8"/>
      <c r="T6" s="12"/>
      <c r="U6" s="12"/>
      <c r="V6" s="12"/>
    </row>
    <row r="7" spans="1:22" ht="16.5" customHeight="1">
      <c r="A7" s="12" t="s">
        <v>25</v>
      </c>
      <c r="B7" s="12"/>
      <c r="D7" s="31" t="s">
        <v>26</v>
      </c>
      <c r="E7" s="31"/>
      <c r="F7" s="12"/>
      <c r="G7" s="12"/>
      <c r="H7" s="8" t="s">
        <v>34</v>
      </c>
      <c r="I7" s="12"/>
      <c r="J7" s="6">
        <v>2</v>
      </c>
      <c r="K7" s="12"/>
      <c r="L7" s="12"/>
      <c r="M7" s="12"/>
      <c r="N7" s="12"/>
      <c r="O7" s="12"/>
      <c r="P7" s="12"/>
      <c r="Q7" s="12"/>
      <c r="R7" s="6">
        <v>2</v>
      </c>
      <c r="S7" s="12"/>
      <c r="T7" s="43" t="s">
        <v>43</v>
      </c>
      <c r="U7" s="12"/>
      <c r="V7" s="12"/>
    </row>
    <row r="8" spans="1:22" ht="16.5" customHeight="1">
      <c r="A8" s="34" t="s">
        <v>28</v>
      </c>
      <c r="B8" s="34"/>
      <c r="C8" s="124">
        <v>37.5</v>
      </c>
      <c r="D8" s="7"/>
      <c r="E8" s="7"/>
      <c r="F8" s="12"/>
      <c r="G8" s="12"/>
      <c r="H8" s="12"/>
      <c r="I8" s="12"/>
      <c r="J8" s="14"/>
      <c r="K8" s="12"/>
      <c r="L8" s="8" t="s">
        <v>3</v>
      </c>
      <c r="M8" s="12"/>
      <c r="N8" s="12"/>
      <c r="O8" s="12"/>
      <c r="P8" s="12"/>
      <c r="Q8" s="12"/>
      <c r="R8" s="14"/>
      <c r="S8" s="12"/>
      <c r="T8" s="4" t="s">
        <v>41</v>
      </c>
      <c r="U8" s="12"/>
      <c r="V8" s="12"/>
    </row>
    <row r="9" spans="1:22" ht="6.75" customHeight="1">
      <c r="A9" s="35"/>
      <c r="B9" s="34"/>
      <c r="C9" s="125"/>
      <c r="D9" s="7"/>
      <c r="E9" s="7"/>
      <c r="F9" s="12"/>
      <c r="G9" s="12"/>
      <c r="H9" s="12"/>
      <c r="I9" s="12"/>
      <c r="J9" s="38">
        <v>1</v>
      </c>
      <c r="K9" s="12"/>
      <c r="L9" s="12"/>
      <c r="M9" s="12"/>
      <c r="N9" s="12"/>
      <c r="O9" s="12"/>
      <c r="P9" s="12"/>
      <c r="Q9" s="12"/>
      <c r="R9" s="38">
        <v>1</v>
      </c>
      <c r="S9" s="12"/>
      <c r="T9" s="12"/>
      <c r="U9" s="12"/>
      <c r="V9" s="12"/>
    </row>
    <row r="10" spans="1:22" ht="12.75">
      <c r="A10" s="34" t="s">
        <v>31</v>
      </c>
      <c r="B10" s="34"/>
      <c r="C10" s="124">
        <v>10</v>
      </c>
      <c r="D10" s="1"/>
      <c r="E10" s="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7:22" ht="12.75">
      <c r="G11" s="12"/>
      <c r="H11" s="12"/>
      <c r="I11" s="12"/>
      <c r="J11" s="8" t="s">
        <v>2</v>
      </c>
      <c r="K11" s="12"/>
      <c r="L11" s="12"/>
      <c r="M11" s="12"/>
      <c r="N11" s="12"/>
      <c r="O11" s="12"/>
      <c r="P11" s="12"/>
      <c r="Q11" s="12"/>
      <c r="R11" s="8" t="s">
        <v>2</v>
      </c>
      <c r="S11" s="12"/>
      <c r="T11" s="12"/>
      <c r="U11" s="12"/>
      <c r="V11" s="12"/>
    </row>
    <row r="12" spans="7:22" ht="12.75">
      <c r="G12" s="12"/>
      <c r="H12" s="12"/>
      <c r="I12" s="12"/>
      <c r="J12" s="8"/>
      <c r="K12" s="12"/>
      <c r="L12" s="12"/>
      <c r="M12" s="12"/>
      <c r="N12" s="12"/>
      <c r="O12" s="12"/>
      <c r="P12" s="12"/>
      <c r="Q12" s="12"/>
      <c r="R12" s="8"/>
      <c r="S12" s="12"/>
      <c r="T12" s="12"/>
      <c r="U12" s="12"/>
      <c r="V12" s="12"/>
    </row>
    <row r="13" spans="1:23" ht="12.75">
      <c r="A13" s="15" t="s">
        <v>8</v>
      </c>
      <c r="B13" s="48" t="s">
        <v>30</v>
      </c>
      <c r="C13" s="48" t="s">
        <v>6</v>
      </c>
      <c r="D13" s="48" t="s">
        <v>7</v>
      </c>
      <c r="E13" s="48" t="s">
        <v>80</v>
      </c>
      <c r="F13" s="15" t="s">
        <v>2</v>
      </c>
      <c r="G13" s="15" t="s">
        <v>3</v>
      </c>
      <c r="H13" s="15" t="s">
        <v>4</v>
      </c>
      <c r="I13" s="16" t="s">
        <v>15</v>
      </c>
      <c r="J13" s="16"/>
      <c r="K13" s="16" t="s">
        <v>16</v>
      </c>
      <c r="L13" s="15" t="s">
        <v>58</v>
      </c>
      <c r="M13" s="15" t="s">
        <v>59</v>
      </c>
      <c r="N13" s="15" t="s">
        <v>60</v>
      </c>
      <c r="O13" s="15" t="s">
        <v>61</v>
      </c>
      <c r="P13" s="15" t="s">
        <v>62</v>
      </c>
      <c r="Q13" s="88" t="s">
        <v>57</v>
      </c>
      <c r="R13" s="89"/>
      <c r="S13" s="17" t="s">
        <v>10</v>
      </c>
      <c r="T13" s="17"/>
      <c r="U13" s="17"/>
      <c r="V13" s="17"/>
      <c r="W13" s="17"/>
    </row>
    <row r="14" spans="1:23" ht="15" customHeight="1">
      <c r="A14" s="3" t="s">
        <v>9</v>
      </c>
      <c r="B14" s="49" t="s">
        <v>0</v>
      </c>
      <c r="C14" s="49" t="s">
        <v>1</v>
      </c>
      <c r="D14" s="49" t="s">
        <v>1</v>
      </c>
      <c r="E14" s="49" t="s">
        <v>79</v>
      </c>
      <c r="F14" s="3" t="s">
        <v>1</v>
      </c>
      <c r="G14" s="3" t="s">
        <v>1</v>
      </c>
      <c r="H14" s="3" t="s">
        <v>1</v>
      </c>
      <c r="I14" s="18" t="s">
        <v>1</v>
      </c>
      <c r="J14" s="18"/>
      <c r="K14" s="18" t="s">
        <v>1</v>
      </c>
      <c r="L14" s="3" t="s">
        <v>23</v>
      </c>
      <c r="M14" s="3" t="s">
        <v>23</v>
      </c>
      <c r="N14" s="3" t="s">
        <v>23</v>
      </c>
      <c r="O14" s="3" t="s">
        <v>23</v>
      </c>
      <c r="P14" s="3" t="s">
        <v>23</v>
      </c>
      <c r="Q14" s="19" t="s">
        <v>23</v>
      </c>
      <c r="R14" s="20"/>
      <c r="S14" s="57" t="s">
        <v>64</v>
      </c>
      <c r="T14" s="58" t="s">
        <v>12</v>
      </c>
      <c r="U14" s="57" t="s">
        <v>11</v>
      </c>
      <c r="V14" s="58" t="s">
        <v>12</v>
      </c>
      <c r="W14" s="58" t="s">
        <v>98</v>
      </c>
    </row>
    <row r="15" spans="1:23" ht="13.5" customHeight="1">
      <c r="A15" s="3"/>
      <c r="B15" s="49"/>
      <c r="C15" s="49"/>
      <c r="D15" s="49"/>
      <c r="E15" s="49"/>
      <c r="F15" s="3"/>
      <c r="G15" s="3"/>
      <c r="H15" s="3"/>
      <c r="I15" s="19" t="s">
        <v>50</v>
      </c>
      <c r="J15" s="20"/>
      <c r="K15" s="18" t="s">
        <v>51</v>
      </c>
      <c r="L15" s="3" t="s">
        <v>35</v>
      </c>
      <c r="M15" s="3" t="s">
        <v>17</v>
      </c>
      <c r="N15" s="3" t="s">
        <v>36</v>
      </c>
      <c r="O15" s="30" t="s">
        <v>22</v>
      </c>
      <c r="P15" s="37" t="s">
        <v>37</v>
      </c>
      <c r="Q15" s="81"/>
      <c r="R15" s="82"/>
      <c r="S15" s="86" t="s">
        <v>5</v>
      </c>
      <c r="T15" s="87" t="s">
        <v>13</v>
      </c>
      <c r="U15" s="86" t="s">
        <v>55</v>
      </c>
      <c r="V15" s="87" t="s">
        <v>13</v>
      </c>
      <c r="W15" s="126" t="s">
        <v>55</v>
      </c>
    </row>
    <row r="16" spans="1:23" ht="12.75">
      <c r="A16" s="21"/>
      <c r="B16" s="50"/>
      <c r="C16" s="50"/>
      <c r="D16" s="50"/>
      <c r="E16" s="50"/>
      <c r="F16" s="21"/>
      <c r="G16" s="21"/>
      <c r="H16" s="21"/>
      <c r="I16" s="46" t="s">
        <v>48</v>
      </c>
      <c r="J16" s="23"/>
      <c r="K16" s="47" t="s">
        <v>49</v>
      </c>
      <c r="L16" s="22"/>
      <c r="M16" s="22"/>
      <c r="N16" s="22"/>
      <c r="O16" s="25" t="s">
        <v>21</v>
      </c>
      <c r="P16" s="22" t="s">
        <v>38</v>
      </c>
      <c r="Q16" s="83"/>
      <c r="R16" s="84"/>
      <c r="S16" s="51">
        <v>0.9</v>
      </c>
      <c r="T16" s="85">
        <v>0.65</v>
      </c>
      <c r="U16" s="51">
        <v>0.6</v>
      </c>
      <c r="V16" s="59">
        <v>0.65</v>
      </c>
      <c r="W16" s="59"/>
    </row>
    <row r="17" spans="1:23" ht="12.75">
      <c r="A17" s="90"/>
      <c r="B17" s="91"/>
      <c r="C17" s="91"/>
      <c r="D17" s="91"/>
      <c r="E17" s="91"/>
      <c r="F17" s="7"/>
      <c r="G17" s="7"/>
      <c r="H17" s="7"/>
      <c r="I17" s="34"/>
      <c r="J17" s="34"/>
      <c r="K17" s="34"/>
      <c r="L17" s="66"/>
      <c r="M17" s="66"/>
      <c r="N17" s="92"/>
      <c r="O17" s="93"/>
      <c r="P17" s="66"/>
      <c r="Q17" s="66"/>
      <c r="R17" s="66"/>
      <c r="S17" s="60">
        <v>0.8</v>
      </c>
      <c r="T17" s="61">
        <v>0.8</v>
      </c>
      <c r="U17" s="62">
        <v>0.8</v>
      </c>
      <c r="V17" s="63">
        <v>0.8</v>
      </c>
      <c r="W17" s="63"/>
    </row>
    <row r="18" spans="1:23" ht="12.75">
      <c r="A18" s="134">
        <f>+'SMAW-SMAW'!A18</f>
        <v>1</v>
      </c>
      <c r="B18" s="135">
        <v>0.5</v>
      </c>
      <c r="C18" s="136">
        <v>21.3</v>
      </c>
      <c r="D18" s="136">
        <v>1.65</v>
      </c>
      <c r="E18" s="137" t="s">
        <v>81</v>
      </c>
      <c r="F18" s="138">
        <f aca="true" t="shared" si="0" ref="F18:F303">IF($D$6=1,2,3)</f>
        <v>2</v>
      </c>
      <c r="G18" s="138">
        <f aca="true" t="shared" si="1" ref="G18:G27">IF(D18&lt;2,D18,2)</f>
        <v>1.65</v>
      </c>
      <c r="H18" s="138">
        <f aca="true" t="shared" si="2" ref="H18:H27">IF(D18&lt;=19,2,3)</f>
        <v>2</v>
      </c>
      <c r="I18" s="139">
        <f aca="true" t="shared" si="3" ref="I18:I29">IF(D18&lt;=19,(D18-G18)*TAN($C$8*PI()/180),(19-G18)*TAN($C$8*PI()/180))</f>
        <v>0</v>
      </c>
      <c r="J18" s="138"/>
      <c r="K18" s="138">
        <f aca="true" t="shared" si="4" ref="K18:K29">IF(D18&lt;=19,0,(D18-19)*TAN($C$10*PI()/180))</f>
        <v>0</v>
      </c>
      <c r="L18" s="138">
        <f aca="true" t="shared" si="5" ref="L18:L29">+F18*(G18*1.5)</f>
        <v>4.949999999999999</v>
      </c>
      <c r="M18" s="138">
        <f aca="true" t="shared" si="6" ref="M18:M29">+F18*(D18-G18)</f>
        <v>0</v>
      </c>
      <c r="N18" s="138">
        <f aca="true" t="shared" si="7" ref="N18:N29">IF(D18&lt;=19,(D18-G18)*I18,(19-G18)*I18)</f>
        <v>0</v>
      </c>
      <c r="O18" s="138">
        <f aca="true" t="shared" si="8" ref="O18:O29">IF(D18&lt;=19,0,(I18*(D18-19)*2)+((K18)*(D18-19)))</f>
        <v>0</v>
      </c>
      <c r="P18" s="138">
        <f aca="true" t="shared" si="9" ref="P18:P29">+(5+F18+(2*(I18+K18)))*H18</f>
        <v>14</v>
      </c>
      <c r="Q18" s="140">
        <f aca="true" t="shared" si="10" ref="Q18:Q29">SUM(M18:P18)</f>
        <v>14</v>
      </c>
      <c r="R18" s="140"/>
      <c r="S18" s="127">
        <f>IF(D$6=1,(PI()*(C18-(2*D18)+(2*G18))*L18*0.1*0.01*7.85*0.001/(S$16*S$17)),0)</f>
        <v>0.003611368747548934</v>
      </c>
      <c r="T18" s="127">
        <f aca="true" t="shared" si="11" ref="T18:T27">IF(D$6=1,(PI()*(C18-(0.5*D18))*(Q18)*0.1*0.01*7.85*0.001/(T$16*T$17)),0)</f>
        <v>0.013594653159787279</v>
      </c>
      <c r="U18" s="138">
        <f aca="true" t="shared" si="12" ref="U18:U27">IF(D$6=1,0,(PI()*(C18-(2*D18)+(2*G18))*L18*0.1*0.01*7.85*0.001/(U$16*U$17)))</f>
        <v>0</v>
      </c>
      <c r="V18" s="138">
        <f aca="true" t="shared" si="13" ref="V18:V27">IF(D$6=1,0,(PI()*(C18-(0.5*D18))*(Q18)*0.1*0.01*7.85*0.001/(V$16*V$17)))</f>
        <v>0</v>
      </c>
      <c r="W18" s="127">
        <f>SUM(U18:V18)</f>
        <v>0</v>
      </c>
    </row>
    <row r="19" spans="1:23" ht="12.75">
      <c r="A19" s="141">
        <f>+'SMAW-SMAW'!A19</f>
        <v>2</v>
      </c>
      <c r="B19" s="142">
        <v>0.5</v>
      </c>
      <c r="C19" s="143">
        <v>21.3</v>
      </c>
      <c r="D19" s="143">
        <v>2.11</v>
      </c>
      <c r="E19" s="144" t="s">
        <v>84</v>
      </c>
      <c r="F19" s="145">
        <f t="shared" si="0"/>
        <v>2</v>
      </c>
      <c r="G19" s="145">
        <f t="shared" si="1"/>
        <v>2</v>
      </c>
      <c r="H19" s="145">
        <f t="shared" si="2"/>
        <v>2</v>
      </c>
      <c r="I19" s="146">
        <f t="shared" si="3"/>
        <v>0.08440596867768554</v>
      </c>
      <c r="J19" s="147"/>
      <c r="K19" s="145">
        <f t="shared" si="4"/>
        <v>0</v>
      </c>
      <c r="L19" s="145">
        <f t="shared" si="5"/>
        <v>6</v>
      </c>
      <c r="M19" s="145">
        <f t="shared" si="6"/>
        <v>0.21999999999999975</v>
      </c>
      <c r="N19" s="145">
        <f t="shared" si="7"/>
        <v>0.0092846565545454</v>
      </c>
      <c r="O19" s="145">
        <f t="shared" si="8"/>
        <v>0</v>
      </c>
      <c r="P19" s="145">
        <f t="shared" si="9"/>
        <v>14.337623874710742</v>
      </c>
      <c r="Q19" s="147">
        <f t="shared" si="10"/>
        <v>14.566908531265288</v>
      </c>
      <c r="R19" s="147"/>
      <c r="S19" s="128">
        <f aca="true" t="shared" si="14" ref="S19:S27">IF(D$6=1,(PI()*(C19-(2*D19)+(2*G19))*L19*0.1*0.01*7.85*0.001/(S$16*S$17)),0)</f>
        <v>0.004332203909422764</v>
      </c>
      <c r="T19" s="128">
        <f t="shared" si="11"/>
        <v>0.013986252359273395</v>
      </c>
      <c r="U19" s="145">
        <f t="shared" si="12"/>
        <v>0</v>
      </c>
      <c r="V19" s="145">
        <f t="shared" si="13"/>
        <v>0</v>
      </c>
      <c r="W19" s="128">
        <f aca="true" t="shared" si="15" ref="W19:W82">SUM(U19:V19)</f>
        <v>0</v>
      </c>
    </row>
    <row r="20" spans="1:23" ht="12.75">
      <c r="A20" s="141">
        <f>+'SMAW-SMAW'!A20</f>
        <v>3</v>
      </c>
      <c r="B20" s="142">
        <v>0.5</v>
      </c>
      <c r="C20" s="143">
        <v>21.3</v>
      </c>
      <c r="D20" s="143">
        <v>2.77</v>
      </c>
      <c r="E20" s="144" t="s">
        <v>85</v>
      </c>
      <c r="F20" s="145">
        <f t="shared" si="0"/>
        <v>2</v>
      </c>
      <c r="G20" s="145">
        <f t="shared" si="1"/>
        <v>2</v>
      </c>
      <c r="H20" s="145">
        <f t="shared" si="2"/>
        <v>2</v>
      </c>
      <c r="I20" s="146">
        <f t="shared" si="3"/>
        <v>0.5908417807437994</v>
      </c>
      <c r="J20" s="147"/>
      <c r="K20" s="145">
        <f t="shared" si="4"/>
        <v>0</v>
      </c>
      <c r="L20" s="145">
        <f t="shared" si="5"/>
        <v>6</v>
      </c>
      <c r="M20" s="145">
        <f t="shared" si="6"/>
        <v>1.54</v>
      </c>
      <c r="N20" s="145">
        <f t="shared" si="7"/>
        <v>0.45494817117272557</v>
      </c>
      <c r="O20" s="145">
        <f t="shared" si="8"/>
        <v>0</v>
      </c>
      <c r="P20" s="145">
        <f t="shared" si="9"/>
        <v>16.3633671229752</v>
      </c>
      <c r="Q20" s="147">
        <f t="shared" si="10"/>
        <v>18.358315294147925</v>
      </c>
      <c r="R20" s="147"/>
      <c r="S20" s="128">
        <f>IF(D$6=1,(PI()*(C20-(2*D20)+(2*G20))*L20*0.1*0.01*7.85*0.001/(S$16*S$17)),0)</f>
        <v>0.004060927383785286</v>
      </c>
      <c r="T20" s="128">
        <f t="shared" si="11"/>
        <v>0.017339210575518293</v>
      </c>
      <c r="U20" s="145">
        <f t="shared" si="12"/>
        <v>0</v>
      </c>
      <c r="V20" s="145">
        <f t="shared" si="13"/>
        <v>0</v>
      </c>
      <c r="W20" s="128">
        <f t="shared" si="15"/>
        <v>0</v>
      </c>
    </row>
    <row r="21" spans="1:23" ht="12.75">
      <c r="A21" s="141">
        <f>+'SMAW-SMAW'!A21</f>
        <v>4</v>
      </c>
      <c r="B21" s="142">
        <v>0.5</v>
      </c>
      <c r="C21" s="143">
        <v>21.3</v>
      </c>
      <c r="D21" s="143">
        <v>2.77</v>
      </c>
      <c r="E21" s="144" t="s">
        <v>86</v>
      </c>
      <c r="F21" s="145">
        <f t="shared" si="0"/>
        <v>2</v>
      </c>
      <c r="G21" s="145">
        <f t="shared" si="1"/>
        <v>2</v>
      </c>
      <c r="H21" s="145">
        <f t="shared" si="2"/>
        <v>2</v>
      </c>
      <c r="I21" s="146">
        <f t="shared" si="3"/>
        <v>0.5908417807437994</v>
      </c>
      <c r="J21" s="147"/>
      <c r="K21" s="145">
        <f t="shared" si="4"/>
        <v>0</v>
      </c>
      <c r="L21" s="145">
        <f t="shared" si="5"/>
        <v>6</v>
      </c>
      <c r="M21" s="145">
        <f t="shared" si="6"/>
        <v>1.54</v>
      </c>
      <c r="N21" s="145">
        <f t="shared" si="7"/>
        <v>0.45494817117272557</v>
      </c>
      <c r="O21" s="145">
        <f t="shared" si="8"/>
        <v>0</v>
      </c>
      <c r="P21" s="145">
        <f t="shared" si="9"/>
        <v>16.3633671229752</v>
      </c>
      <c r="Q21" s="147">
        <f t="shared" si="10"/>
        <v>18.358315294147925</v>
      </c>
      <c r="R21" s="147"/>
      <c r="S21" s="128">
        <f t="shared" si="14"/>
        <v>0.004060927383785286</v>
      </c>
      <c r="T21" s="128">
        <f t="shared" si="11"/>
        <v>0.017339210575518293</v>
      </c>
      <c r="U21" s="145">
        <f t="shared" si="12"/>
        <v>0</v>
      </c>
      <c r="V21" s="145">
        <f t="shared" si="13"/>
        <v>0</v>
      </c>
      <c r="W21" s="128">
        <f t="shared" si="15"/>
        <v>0</v>
      </c>
    </row>
    <row r="22" spans="1:23" ht="12.75">
      <c r="A22" s="141">
        <f>+'SMAW-SMAW'!A22</f>
        <v>5</v>
      </c>
      <c r="B22" s="142">
        <v>0.5</v>
      </c>
      <c r="C22" s="143">
        <v>21.3</v>
      </c>
      <c r="D22" s="143">
        <v>2.77</v>
      </c>
      <c r="E22" s="144" t="s">
        <v>87</v>
      </c>
      <c r="F22" s="145">
        <f t="shared" si="0"/>
        <v>2</v>
      </c>
      <c r="G22" s="145">
        <f t="shared" si="1"/>
        <v>2</v>
      </c>
      <c r="H22" s="145">
        <f t="shared" si="2"/>
        <v>2</v>
      </c>
      <c r="I22" s="146">
        <f t="shared" si="3"/>
        <v>0.5908417807437994</v>
      </c>
      <c r="J22" s="147"/>
      <c r="K22" s="145">
        <f t="shared" si="4"/>
        <v>0</v>
      </c>
      <c r="L22" s="145">
        <f t="shared" si="5"/>
        <v>6</v>
      </c>
      <c r="M22" s="145">
        <f t="shared" si="6"/>
        <v>1.54</v>
      </c>
      <c r="N22" s="145">
        <f t="shared" si="7"/>
        <v>0.45494817117272557</v>
      </c>
      <c r="O22" s="145">
        <f t="shared" si="8"/>
        <v>0</v>
      </c>
      <c r="P22" s="145">
        <f t="shared" si="9"/>
        <v>16.3633671229752</v>
      </c>
      <c r="Q22" s="147">
        <f t="shared" si="10"/>
        <v>18.358315294147925</v>
      </c>
      <c r="R22" s="147"/>
      <c r="S22" s="128">
        <f t="shared" si="14"/>
        <v>0.004060927383785286</v>
      </c>
      <c r="T22" s="128">
        <f t="shared" si="11"/>
        <v>0.017339210575518293</v>
      </c>
      <c r="U22" s="145">
        <f t="shared" si="12"/>
        <v>0</v>
      </c>
      <c r="V22" s="145">
        <f t="shared" si="13"/>
        <v>0</v>
      </c>
      <c r="W22" s="128">
        <f t="shared" si="15"/>
        <v>0</v>
      </c>
    </row>
    <row r="23" spans="1:23" ht="12.75">
      <c r="A23" s="141">
        <f>+'SMAW-SMAW'!A23</f>
        <v>6</v>
      </c>
      <c r="B23" s="142">
        <v>0.5</v>
      </c>
      <c r="C23" s="143">
        <v>21.3</v>
      </c>
      <c r="D23" s="143">
        <v>3.73</v>
      </c>
      <c r="E23" s="144" t="s">
        <v>88</v>
      </c>
      <c r="F23" s="145">
        <f t="shared" si="0"/>
        <v>2</v>
      </c>
      <c r="G23" s="145">
        <f t="shared" si="1"/>
        <v>2</v>
      </c>
      <c r="H23" s="145">
        <f t="shared" si="2"/>
        <v>2</v>
      </c>
      <c r="I23" s="146">
        <f t="shared" si="3"/>
        <v>1.3274756892036015</v>
      </c>
      <c r="J23" s="147"/>
      <c r="K23" s="145">
        <f t="shared" si="4"/>
        <v>0</v>
      </c>
      <c r="L23" s="145">
        <f t="shared" si="5"/>
        <v>6</v>
      </c>
      <c r="M23" s="145">
        <f t="shared" si="6"/>
        <v>3.46</v>
      </c>
      <c r="N23" s="145">
        <f t="shared" si="7"/>
        <v>2.2965329423222305</v>
      </c>
      <c r="O23" s="145">
        <f t="shared" si="8"/>
        <v>0</v>
      </c>
      <c r="P23" s="145">
        <f t="shared" si="9"/>
        <v>19.309902756814406</v>
      </c>
      <c r="Q23" s="147">
        <f t="shared" si="10"/>
        <v>25.066435699136637</v>
      </c>
      <c r="R23" s="147"/>
      <c r="S23" s="128">
        <f t="shared" si="14"/>
        <v>0.003666343346494408</v>
      </c>
      <c r="T23" s="128">
        <f t="shared" si="11"/>
        <v>0.02310432659530157</v>
      </c>
      <c r="U23" s="145">
        <f t="shared" si="12"/>
        <v>0</v>
      </c>
      <c r="V23" s="145">
        <f t="shared" si="13"/>
        <v>0</v>
      </c>
      <c r="W23" s="128">
        <f t="shared" si="15"/>
        <v>0</v>
      </c>
    </row>
    <row r="24" spans="1:23" ht="12.75">
      <c r="A24" s="141">
        <f>+'SMAW-SMAW'!A24</f>
        <v>7</v>
      </c>
      <c r="B24" s="142">
        <v>0.5</v>
      </c>
      <c r="C24" s="143">
        <v>21.3</v>
      </c>
      <c r="D24" s="143">
        <v>3.73</v>
      </c>
      <c r="E24" s="144" t="s">
        <v>82</v>
      </c>
      <c r="F24" s="145">
        <f t="shared" si="0"/>
        <v>2</v>
      </c>
      <c r="G24" s="145">
        <f t="shared" si="1"/>
        <v>2</v>
      </c>
      <c r="H24" s="145">
        <f t="shared" si="2"/>
        <v>2</v>
      </c>
      <c r="I24" s="146">
        <f t="shared" si="3"/>
        <v>1.3274756892036015</v>
      </c>
      <c r="J24" s="147"/>
      <c r="K24" s="145">
        <f t="shared" si="4"/>
        <v>0</v>
      </c>
      <c r="L24" s="145">
        <f t="shared" si="5"/>
        <v>6</v>
      </c>
      <c r="M24" s="145">
        <f t="shared" si="6"/>
        <v>3.46</v>
      </c>
      <c r="N24" s="145">
        <f t="shared" si="7"/>
        <v>2.2965329423222305</v>
      </c>
      <c r="O24" s="145">
        <f t="shared" si="8"/>
        <v>0</v>
      </c>
      <c r="P24" s="145">
        <f t="shared" si="9"/>
        <v>19.309902756814406</v>
      </c>
      <c r="Q24" s="147">
        <f t="shared" si="10"/>
        <v>25.066435699136637</v>
      </c>
      <c r="R24" s="147"/>
      <c r="S24" s="128">
        <f t="shared" si="14"/>
        <v>0.003666343346494408</v>
      </c>
      <c r="T24" s="128">
        <f t="shared" si="11"/>
        <v>0.02310432659530157</v>
      </c>
      <c r="U24" s="145">
        <f t="shared" si="12"/>
        <v>0</v>
      </c>
      <c r="V24" s="145">
        <f t="shared" si="13"/>
        <v>0</v>
      </c>
      <c r="W24" s="128">
        <f t="shared" si="15"/>
        <v>0</v>
      </c>
    </row>
    <row r="25" spans="1:23" ht="12.75">
      <c r="A25" s="141">
        <f>+'SMAW-SMAW'!A25</f>
        <v>8</v>
      </c>
      <c r="B25" s="142">
        <v>0.5</v>
      </c>
      <c r="C25" s="143">
        <v>21.3</v>
      </c>
      <c r="D25" s="143">
        <v>3.73</v>
      </c>
      <c r="E25" s="144" t="s">
        <v>89</v>
      </c>
      <c r="F25" s="145">
        <f t="shared" si="0"/>
        <v>2</v>
      </c>
      <c r="G25" s="145">
        <f t="shared" si="1"/>
        <v>2</v>
      </c>
      <c r="H25" s="145">
        <f t="shared" si="2"/>
        <v>2</v>
      </c>
      <c r="I25" s="146">
        <f t="shared" si="3"/>
        <v>1.3274756892036015</v>
      </c>
      <c r="J25" s="147"/>
      <c r="K25" s="145">
        <f t="shared" si="4"/>
        <v>0</v>
      </c>
      <c r="L25" s="145">
        <f t="shared" si="5"/>
        <v>6</v>
      </c>
      <c r="M25" s="145">
        <f t="shared" si="6"/>
        <v>3.46</v>
      </c>
      <c r="N25" s="145">
        <f t="shared" si="7"/>
        <v>2.2965329423222305</v>
      </c>
      <c r="O25" s="145">
        <f t="shared" si="8"/>
        <v>0</v>
      </c>
      <c r="P25" s="145">
        <f t="shared" si="9"/>
        <v>19.309902756814406</v>
      </c>
      <c r="Q25" s="147">
        <f t="shared" si="10"/>
        <v>25.066435699136637</v>
      </c>
      <c r="R25" s="147"/>
      <c r="S25" s="128">
        <f t="shared" si="14"/>
        <v>0.003666343346494408</v>
      </c>
      <c r="T25" s="128">
        <f t="shared" si="11"/>
        <v>0.02310432659530157</v>
      </c>
      <c r="U25" s="145">
        <f t="shared" si="12"/>
        <v>0</v>
      </c>
      <c r="V25" s="145">
        <f t="shared" si="13"/>
        <v>0</v>
      </c>
      <c r="W25" s="128">
        <f t="shared" si="15"/>
        <v>0</v>
      </c>
    </row>
    <row r="26" spans="1:23" ht="12.75">
      <c r="A26" s="141">
        <f>+'SMAW-SMAW'!A26</f>
        <v>9</v>
      </c>
      <c r="B26" s="142">
        <v>0.5</v>
      </c>
      <c r="C26" s="143">
        <v>21.3</v>
      </c>
      <c r="D26" s="143">
        <v>4.73</v>
      </c>
      <c r="E26" s="144" t="s">
        <v>90</v>
      </c>
      <c r="F26" s="145">
        <f t="shared" si="0"/>
        <v>2</v>
      </c>
      <c r="G26" s="145">
        <f t="shared" si="1"/>
        <v>2</v>
      </c>
      <c r="H26" s="145">
        <f t="shared" si="2"/>
        <v>2</v>
      </c>
      <c r="I26" s="146">
        <f t="shared" si="3"/>
        <v>2.094802677182562</v>
      </c>
      <c r="J26" s="147"/>
      <c r="K26" s="145">
        <f t="shared" si="4"/>
        <v>0</v>
      </c>
      <c r="L26" s="145">
        <f t="shared" si="5"/>
        <v>6</v>
      </c>
      <c r="M26" s="145">
        <f t="shared" si="6"/>
        <v>5.460000000000001</v>
      </c>
      <c r="N26" s="145">
        <f t="shared" si="7"/>
        <v>5.718811308708395</v>
      </c>
      <c r="O26" s="145">
        <f t="shared" si="8"/>
        <v>0</v>
      </c>
      <c r="P26" s="145">
        <f t="shared" si="9"/>
        <v>22.37921070873025</v>
      </c>
      <c r="Q26" s="147">
        <f t="shared" si="10"/>
        <v>33.558022017438645</v>
      </c>
      <c r="R26" s="147"/>
      <c r="S26" s="128">
        <f t="shared" si="14"/>
        <v>0.003255318307649743</v>
      </c>
      <c r="T26" s="128">
        <f t="shared" si="11"/>
        <v>0.03013546172162035</v>
      </c>
      <c r="U26" s="145">
        <f t="shared" si="12"/>
        <v>0</v>
      </c>
      <c r="V26" s="145">
        <f t="shared" si="13"/>
        <v>0</v>
      </c>
      <c r="W26" s="128">
        <f t="shared" si="15"/>
        <v>0</v>
      </c>
    </row>
    <row r="27" spans="1:23" ht="12.75">
      <c r="A27" s="141">
        <f>+'SMAW-SMAW'!A27</f>
        <v>10</v>
      </c>
      <c r="B27" s="142">
        <v>0.5</v>
      </c>
      <c r="C27" s="143">
        <v>21.3</v>
      </c>
      <c r="D27" s="143">
        <v>7.471</v>
      </c>
      <c r="E27" s="144" t="s">
        <v>83</v>
      </c>
      <c r="F27" s="145">
        <f t="shared" si="0"/>
        <v>2</v>
      </c>
      <c r="G27" s="145">
        <f t="shared" si="1"/>
        <v>2</v>
      </c>
      <c r="H27" s="145">
        <f t="shared" si="2"/>
        <v>2</v>
      </c>
      <c r="I27" s="146">
        <f t="shared" si="3"/>
        <v>4.198045951232892</v>
      </c>
      <c r="J27" s="147"/>
      <c r="K27" s="145">
        <f t="shared" si="4"/>
        <v>0</v>
      </c>
      <c r="L27" s="145">
        <f t="shared" si="5"/>
        <v>6</v>
      </c>
      <c r="M27" s="145">
        <f t="shared" si="6"/>
        <v>10.942</v>
      </c>
      <c r="N27" s="145">
        <f t="shared" si="7"/>
        <v>22.96750939919515</v>
      </c>
      <c r="O27" s="145">
        <f t="shared" si="8"/>
        <v>0</v>
      </c>
      <c r="P27" s="145">
        <f t="shared" si="9"/>
        <v>30.792183804931568</v>
      </c>
      <c r="Q27" s="147">
        <f t="shared" si="10"/>
        <v>64.70169320412671</v>
      </c>
      <c r="R27" s="147"/>
      <c r="S27" s="128">
        <f t="shared" si="14"/>
        <v>0.0021286986761765185</v>
      </c>
      <c r="T27" s="128">
        <f t="shared" si="11"/>
        <v>0.05389737615854593</v>
      </c>
      <c r="U27" s="145">
        <f t="shared" si="12"/>
        <v>0</v>
      </c>
      <c r="V27" s="145">
        <f t="shared" si="13"/>
        <v>0</v>
      </c>
      <c r="W27" s="128">
        <f t="shared" si="15"/>
        <v>0</v>
      </c>
    </row>
    <row r="28" spans="1:23" ht="12.75">
      <c r="A28" s="141">
        <f>+'SMAW-SMAW'!A28</f>
        <v>11</v>
      </c>
      <c r="B28" s="142"/>
      <c r="C28" s="143"/>
      <c r="D28" s="143"/>
      <c r="E28" s="144"/>
      <c r="F28" s="145"/>
      <c r="G28" s="145"/>
      <c r="H28" s="145"/>
      <c r="I28" s="146"/>
      <c r="J28" s="147"/>
      <c r="K28" s="145"/>
      <c r="L28" s="145"/>
      <c r="M28" s="145"/>
      <c r="N28" s="145"/>
      <c r="O28" s="145"/>
      <c r="P28" s="145"/>
      <c r="Q28" s="147"/>
      <c r="R28" s="147"/>
      <c r="S28" s="128"/>
      <c r="T28" s="128"/>
      <c r="U28" s="145"/>
      <c r="V28" s="145"/>
      <c r="W28" s="128">
        <f t="shared" si="15"/>
        <v>0</v>
      </c>
    </row>
    <row r="29" spans="1:23" ht="12.75">
      <c r="A29" s="141">
        <f>+'SMAW-SMAW'!A29</f>
        <v>12</v>
      </c>
      <c r="B29" s="142">
        <v>0.75</v>
      </c>
      <c r="C29" s="143">
        <v>26.7</v>
      </c>
      <c r="D29" s="143">
        <v>1.65</v>
      </c>
      <c r="E29" s="144" t="s">
        <v>81</v>
      </c>
      <c r="F29" s="145">
        <f t="shared" si="0"/>
        <v>2</v>
      </c>
      <c r="G29" s="145">
        <f>IF(D29&lt;2,D29,2)</f>
        <v>1.65</v>
      </c>
      <c r="H29" s="145">
        <f>IF(D29&lt;=19,2,3)</f>
        <v>2</v>
      </c>
      <c r="I29" s="146">
        <f t="shared" si="3"/>
        <v>0</v>
      </c>
      <c r="J29" s="147"/>
      <c r="K29" s="145">
        <f t="shared" si="4"/>
        <v>0</v>
      </c>
      <c r="L29" s="145">
        <f t="shared" si="5"/>
        <v>4.949999999999999</v>
      </c>
      <c r="M29" s="145">
        <f t="shared" si="6"/>
        <v>0</v>
      </c>
      <c r="N29" s="145">
        <f t="shared" si="7"/>
        <v>0</v>
      </c>
      <c r="O29" s="145">
        <f t="shared" si="8"/>
        <v>0</v>
      </c>
      <c r="P29" s="145">
        <f t="shared" si="9"/>
        <v>14</v>
      </c>
      <c r="Q29" s="147">
        <f t="shared" si="10"/>
        <v>14</v>
      </c>
      <c r="R29" s="147"/>
      <c r="S29" s="128">
        <f>IF(D$6=1,(PI()*(C29-(2*D29)+(2*G29))*L29*0.1*0.01*7.85*0.001/(S$16*S$17)),0)</f>
        <v>0.004526927021575424</v>
      </c>
      <c r="T29" s="128">
        <f>IF(D$6=1,(PI()*(C29-(0.5*D29))*(Q29)*0.1*0.01*7.85*0.001/(T$16*T$17)),0)</f>
        <v>0.017180056190939968</v>
      </c>
      <c r="U29" s="145">
        <f>IF(D$6=1,0,(PI()*(C29-(2*D29)+(2*G29))*L29*0.1*0.01*7.85*0.001/(U$16*U$17)))</f>
        <v>0</v>
      </c>
      <c r="V29" s="145">
        <f>IF(D$6=1,0,(PI()*(C29-(0.5*D29))*(Q29)*0.1*0.01*7.85*0.001/(V$16*V$17)))</f>
        <v>0</v>
      </c>
      <c r="W29" s="128">
        <f t="shared" si="15"/>
        <v>0</v>
      </c>
    </row>
    <row r="30" spans="1:23" ht="12.75">
      <c r="A30" s="141">
        <f>+'SMAW-SMAW'!A30</f>
        <v>13</v>
      </c>
      <c r="B30" s="142">
        <v>0.75</v>
      </c>
      <c r="C30" s="143">
        <v>26.7</v>
      </c>
      <c r="D30" s="143">
        <v>2.11</v>
      </c>
      <c r="E30" s="144" t="s">
        <v>84</v>
      </c>
      <c r="F30" s="145">
        <f t="shared" si="0"/>
        <v>2</v>
      </c>
      <c r="G30" s="145">
        <f aca="true" t="shared" si="16" ref="G30:G69">IF(D30&lt;2,D30,2)</f>
        <v>2</v>
      </c>
      <c r="H30" s="145">
        <f aca="true" t="shared" si="17" ref="H30:H38">IF(D30&lt;=19,2,3)</f>
        <v>2</v>
      </c>
      <c r="I30" s="146">
        <f aca="true" t="shared" si="18" ref="I30:I38">IF(D30&lt;=19,(D30-G30)*TAN($C$8*PI()/180),(19-G30)*TAN($C$8*PI()/180))</f>
        <v>0.08440596867768554</v>
      </c>
      <c r="J30" s="147"/>
      <c r="K30" s="145">
        <f aca="true" t="shared" si="19" ref="K30:K38">IF(D30&lt;=19,0,(D30-19)*TAN($C$10*PI()/180))</f>
        <v>0</v>
      </c>
      <c r="L30" s="145">
        <f aca="true" t="shared" si="20" ref="L30:L38">+F30*(G30*1.5)</f>
        <v>6</v>
      </c>
      <c r="M30" s="145">
        <f aca="true" t="shared" si="21" ref="M30:M38">+F30*(D30-G30)</f>
        <v>0.21999999999999975</v>
      </c>
      <c r="N30" s="145">
        <f aca="true" t="shared" si="22" ref="N30:N38">IF(D30&lt;=19,(D30-G30)*I30,(19-G30)*I30)</f>
        <v>0.0092846565545454</v>
      </c>
      <c r="O30" s="145">
        <f aca="true" t="shared" si="23" ref="O30:O38">IF(D30&lt;=19,0,(I30*(D30-19)*2)+((K30)*(D30-19)))</f>
        <v>0</v>
      </c>
      <c r="P30" s="145">
        <f aca="true" t="shared" si="24" ref="P30:P38">+(5+F30+(2*(I30+K30)))*H30</f>
        <v>14.337623874710742</v>
      </c>
      <c r="Q30" s="147">
        <f aca="true" t="shared" si="25" ref="Q30:Q38">SUM(M30:P30)</f>
        <v>14.566908531265288</v>
      </c>
      <c r="R30" s="147"/>
      <c r="S30" s="128">
        <f aca="true" t="shared" si="26" ref="S30:S38">IF(D$6=1,(PI()*(C30-(2*D30)+(2*G30))*L30*0.1*0.01*7.85*0.001/(S$16*S$17)),0)</f>
        <v>0.005441971514303359</v>
      </c>
      <c r="T30" s="128">
        <f aca="true" t="shared" si="27" ref="T30:T38">IF(D$6=1,(PI()*(C30-(0.5*D30))*(Q30)*0.1*0.01*7.85*0.001/(T$16*T$17)),0)</f>
        <v>0.017716840788025004</v>
      </c>
      <c r="U30" s="145">
        <f aca="true" t="shared" si="28" ref="U30:U38">IF(D$6=1,0,(PI()*(C30-(2*D30)+(2*G30))*L30*0.1*0.01*7.85*0.001/(U$16*U$17)))</f>
        <v>0</v>
      </c>
      <c r="V30" s="145">
        <f aca="true" t="shared" si="29" ref="V30:V38">IF(D$6=1,0,(PI()*(C30-(0.5*D30))*(Q30)*0.1*0.01*7.85*0.001/(V$16*V$17)))</f>
        <v>0</v>
      </c>
      <c r="W30" s="128">
        <f t="shared" si="15"/>
        <v>0</v>
      </c>
    </row>
    <row r="31" spans="1:23" ht="12.75">
      <c r="A31" s="141">
        <f>+'SMAW-SMAW'!A31</f>
        <v>14</v>
      </c>
      <c r="B31" s="142">
        <v>0.75</v>
      </c>
      <c r="C31" s="143">
        <v>26.7</v>
      </c>
      <c r="D31" s="143">
        <v>2.87</v>
      </c>
      <c r="E31" s="144" t="s">
        <v>85</v>
      </c>
      <c r="F31" s="145">
        <f t="shared" si="0"/>
        <v>2</v>
      </c>
      <c r="G31" s="145">
        <f t="shared" si="16"/>
        <v>2</v>
      </c>
      <c r="H31" s="145">
        <f t="shared" si="17"/>
        <v>2</v>
      </c>
      <c r="I31" s="146">
        <f t="shared" si="18"/>
        <v>0.6675744795416956</v>
      </c>
      <c r="J31" s="147"/>
      <c r="K31" s="145">
        <f t="shared" si="19"/>
        <v>0</v>
      </c>
      <c r="L31" s="145">
        <f t="shared" si="20"/>
        <v>6</v>
      </c>
      <c r="M31" s="145">
        <f t="shared" si="21"/>
        <v>1.7400000000000002</v>
      </c>
      <c r="N31" s="145">
        <f t="shared" si="22"/>
        <v>0.5807897972012752</v>
      </c>
      <c r="O31" s="145">
        <f t="shared" si="23"/>
        <v>0</v>
      </c>
      <c r="P31" s="145">
        <f t="shared" si="24"/>
        <v>16.67029791816678</v>
      </c>
      <c r="Q31" s="147">
        <f t="shared" si="25"/>
        <v>18.991087715368057</v>
      </c>
      <c r="R31" s="147"/>
      <c r="S31" s="128">
        <f t="shared" si="26"/>
        <v>0.005129592484781414</v>
      </c>
      <c r="T31" s="128">
        <f t="shared" si="27"/>
        <v>0.022755444747433413</v>
      </c>
      <c r="U31" s="145">
        <f t="shared" si="28"/>
        <v>0</v>
      </c>
      <c r="V31" s="145">
        <f t="shared" si="29"/>
        <v>0</v>
      </c>
      <c r="W31" s="128">
        <f t="shared" si="15"/>
        <v>0</v>
      </c>
    </row>
    <row r="32" spans="1:23" ht="12.75">
      <c r="A32" s="141">
        <f>+'SMAW-SMAW'!A32</f>
        <v>15</v>
      </c>
      <c r="B32" s="142">
        <v>0.75</v>
      </c>
      <c r="C32" s="143">
        <v>26.7</v>
      </c>
      <c r="D32" s="143">
        <v>2.87</v>
      </c>
      <c r="E32" s="144" t="s">
        <v>86</v>
      </c>
      <c r="F32" s="145">
        <f t="shared" si="0"/>
        <v>2</v>
      </c>
      <c r="G32" s="145">
        <f t="shared" si="16"/>
        <v>2</v>
      </c>
      <c r="H32" s="145">
        <f t="shared" si="17"/>
        <v>2</v>
      </c>
      <c r="I32" s="146">
        <f t="shared" si="18"/>
        <v>0.6675744795416956</v>
      </c>
      <c r="J32" s="147"/>
      <c r="K32" s="145">
        <f t="shared" si="19"/>
        <v>0</v>
      </c>
      <c r="L32" s="145">
        <f t="shared" si="20"/>
        <v>6</v>
      </c>
      <c r="M32" s="145">
        <f t="shared" si="21"/>
        <v>1.7400000000000002</v>
      </c>
      <c r="N32" s="145">
        <f t="shared" si="22"/>
        <v>0.5807897972012752</v>
      </c>
      <c r="O32" s="145">
        <f t="shared" si="23"/>
        <v>0</v>
      </c>
      <c r="P32" s="145">
        <f t="shared" si="24"/>
        <v>16.67029791816678</v>
      </c>
      <c r="Q32" s="147">
        <f t="shared" si="25"/>
        <v>18.991087715368057</v>
      </c>
      <c r="R32" s="147"/>
      <c r="S32" s="128">
        <f t="shared" si="26"/>
        <v>0.005129592484781414</v>
      </c>
      <c r="T32" s="128">
        <f t="shared" si="27"/>
        <v>0.022755444747433413</v>
      </c>
      <c r="U32" s="145">
        <f t="shared" si="28"/>
        <v>0</v>
      </c>
      <c r="V32" s="145">
        <f t="shared" si="29"/>
        <v>0</v>
      </c>
      <c r="W32" s="128">
        <f t="shared" si="15"/>
        <v>0</v>
      </c>
    </row>
    <row r="33" spans="1:23" ht="12.75">
      <c r="A33" s="141">
        <f>+'SMAW-SMAW'!A33</f>
        <v>16</v>
      </c>
      <c r="B33" s="142">
        <v>0.75</v>
      </c>
      <c r="C33" s="143">
        <v>26.7</v>
      </c>
      <c r="D33" s="143">
        <v>2.87</v>
      </c>
      <c r="E33" s="144" t="s">
        <v>87</v>
      </c>
      <c r="F33" s="145">
        <f t="shared" si="0"/>
        <v>2</v>
      </c>
      <c r="G33" s="145">
        <f t="shared" si="16"/>
        <v>2</v>
      </c>
      <c r="H33" s="145">
        <f t="shared" si="17"/>
        <v>2</v>
      </c>
      <c r="I33" s="146">
        <f t="shared" si="18"/>
        <v>0.6675744795416956</v>
      </c>
      <c r="J33" s="147"/>
      <c r="K33" s="145">
        <f t="shared" si="19"/>
        <v>0</v>
      </c>
      <c r="L33" s="145">
        <f t="shared" si="20"/>
        <v>6</v>
      </c>
      <c r="M33" s="145">
        <f t="shared" si="21"/>
        <v>1.7400000000000002</v>
      </c>
      <c r="N33" s="145">
        <f t="shared" si="22"/>
        <v>0.5807897972012752</v>
      </c>
      <c r="O33" s="145">
        <f t="shared" si="23"/>
        <v>0</v>
      </c>
      <c r="P33" s="145">
        <f t="shared" si="24"/>
        <v>16.67029791816678</v>
      </c>
      <c r="Q33" s="147">
        <f t="shared" si="25"/>
        <v>18.991087715368057</v>
      </c>
      <c r="R33" s="147"/>
      <c r="S33" s="128">
        <f t="shared" si="26"/>
        <v>0.005129592484781414</v>
      </c>
      <c r="T33" s="128">
        <f t="shared" si="27"/>
        <v>0.022755444747433413</v>
      </c>
      <c r="U33" s="145">
        <f t="shared" si="28"/>
        <v>0</v>
      </c>
      <c r="V33" s="145">
        <f t="shared" si="29"/>
        <v>0</v>
      </c>
      <c r="W33" s="128">
        <f t="shared" si="15"/>
        <v>0</v>
      </c>
    </row>
    <row r="34" spans="1:23" ht="12.75">
      <c r="A34" s="141">
        <f>+'SMAW-SMAW'!A34</f>
        <v>17</v>
      </c>
      <c r="B34" s="142">
        <v>0.75</v>
      </c>
      <c r="C34" s="143">
        <v>26.7</v>
      </c>
      <c r="D34" s="143">
        <v>3.91</v>
      </c>
      <c r="E34" s="144" t="s">
        <v>88</v>
      </c>
      <c r="F34" s="145">
        <f t="shared" si="0"/>
        <v>2</v>
      </c>
      <c r="G34" s="145">
        <f t="shared" si="16"/>
        <v>2</v>
      </c>
      <c r="H34" s="145">
        <f t="shared" si="17"/>
        <v>2</v>
      </c>
      <c r="I34" s="146">
        <f t="shared" si="18"/>
        <v>1.4655945470398144</v>
      </c>
      <c r="J34" s="147"/>
      <c r="K34" s="145">
        <f t="shared" si="19"/>
        <v>0</v>
      </c>
      <c r="L34" s="145">
        <f t="shared" si="20"/>
        <v>6</v>
      </c>
      <c r="M34" s="145">
        <f t="shared" si="21"/>
        <v>3.8200000000000003</v>
      </c>
      <c r="N34" s="145">
        <f t="shared" si="22"/>
        <v>2.7992855848460456</v>
      </c>
      <c r="O34" s="145">
        <f t="shared" si="23"/>
        <v>0</v>
      </c>
      <c r="P34" s="145">
        <f t="shared" si="24"/>
        <v>19.86237818815926</v>
      </c>
      <c r="Q34" s="147">
        <f t="shared" si="25"/>
        <v>26.481663773005305</v>
      </c>
      <c r="R34" s="147"/>
      <c r="S34" s="128">
        <f t="shared" si="26"/>
        <v>0.004702126444382962</v>
      </c>
      <c r="T34" s="128">
        <f t="shared" si="27"/>
        <v>0.031077702942648895</v>
      </c>
      <c r="U34" s="145">
        <f t="shared" si="28"/>
        <v>0</v>
      </c>
      <c r="V34" s="145">
        <f t="shared" si="29"/>
        <v>0</v>
      </c>
      <c r="W34" s="128">
        <f t="shared" si="15"/>
        <v>0</v>
      </c>
    </row>
    <row r="35" spans="1:23" ht="12.75">
      <c r="A35" s="141">
        <f>+'SMAW-SMAW'!A35</f>
        <v>18</v>
      </c>
      <c r="B35" s="142">
        <v>0.75</v>
      </c>
      <c r="C35" s="143">
        <v>26.7</v>
      </c>
      <c r="D35" s="143">
        <v>3.91</v>
      </c>
      <c r="E35" s="144" t="s">
        <v>82</v>
      </c>
      <c r="F35" s="145">
        <f t="shared" si="0"/>
        <v>2</v>
      </c>
      <c r="G35" s="145">
        <f t="shared" si="16"/>
        <v>2</v>
      </c>
      <c r="H35" s="145">
        <f t="shared" si="17"/>
        <v>2</v>
      </c>
      <c r="I35" s="146">
        <f t="shared" si="18"/>
        <v>1.4655945470398144</v>
      </c>
      <c r="J35" s="147"/>
      <c r="K35" s="145">
        <f t="shared" si="19"/>
        <v>0</v>
      </c>
      <c r="L35" s="145">
        <f t="shared" si="20"/>
        <v>6</v>
      </c>
      <c r="M35" s="145">
        <f t="shared" si="21"/>
        <v>3.8200000000000003</v>
      </c>
      <c r="N35" s="145">
        <f t="shared" si="22"/>
        <v>2.7992855848460456</v>
      </c>
      <c r="O35" s="145">
        <f t="shared" si="23"/>
        <v>0</v>
      </c>
      <c r="P35" s="145">
        <f t="shared" si="24"/>
        <v>19.86237818815926</v>
      </c>
      <c r="Q35" s="147">
        <f t="shared" si="25"/>
        <v>26.481663773005305</v>
      </c>
      <c r="R35" s="147"/>
      <c r="S35" s="128">
        <f t="shared" si="26"/>
        <v>0.004702126444382962</v>
      </c>
      <c r="T35" s="128">
        <f t="shared" si="27"/>
        <v>0.031077702942648895</v>
      </c>
      <c r="U35" s="145">
        <f t="shared" si="28"/>
        <v>0</v>
      </c>
      <c r="V35" s="145">
        <f t="shared" si="29"/>
        <v>0</v>
      </c>
      <c r="W35" s="128">
        <f t="shared" si="15"/>
        <v>0</v>
      </c>
    </row>
    <row r="36" spans="1:23" ht="12.75">
      <c r="A36" s="141">
        <f>+'SMAW-SMAW'!A36</f>
        <v>19</v>
      </c>
      <c r="B36" s="142">
        <v>0.75</v>
      </c>
      <c r="C36" s="143">
        <v>26.7</v>
      </c>
      <c r="D36" s="143">
        <v>3.91</v>
      </c>
      <c r="E36" s="144" t="s">
        <v>89</v>
      </c>
      <c r="F36" s="145">
        <f t="shared" si="0"/>
        <v>2</v>
      </c>
      <c r="G36" s="145">
        <f t="shared" si="16"/>
        <v>2</v>
      </c>
      <c r="H36" s="145">
        <f t="shared" si="17"/>
        <v>2</v>
      </c>
      <c r="I36" s="146">
        <f t="shared" si="18"/>
        <v>1.4655945470398144</v>
      </c>
      <c r="J36" s="147"/>
      <c r="K36" s="145">
        <f t="shared" si="19"/>
        <v>0</v>
      </c>
      <c r="L36" s="145">
        <f t="shared" si="20"/>
        <v>6</v>
      </c>
      <c r="M36" s="145">
        <f t="shared" si="21"/>
        <v>3.8200000000000003</v>
      </c>
      <c r="N36" s="145">
        <f t="shared" si="22"/>
        <v>2.7992855848460456</v>
      </c>
      <c r="O36" s="145">
        <f t="shared" si="23"/>
        <v>0</v>
      </c>
      <c r="P36" s="145">
        <f t="shared" si="24"/>
        <v>19.86237818815926</v>
      </c>
      <c r="Q36" s="147">
        <f t="shared" si="25"/>
        <v>26.481663773005305</v>
      </c>
      <c r="R36" s="147"/>
      <c r="S36" s="128">
        <f t="shared" si="26"/>
        <v>0.004702126444382962</v>
      </c>
      <c r="T36" s="128">
        <f t="shared" si="27"/>
        <v>0.031077702942648895</v>
      </c>
      <c r="U36" s="145">
        <f t="shared" si="28"/>
        <v>0</v>
      </c>
      <c r="V36" s="145">
        <f t="shared" si="29"/>
        <v>0</v>
      </c>
      <c r="W36" s="128">
        <f t="shared" si="15"/>
        <v>0</v>
      </c>
    </row>
    <row r="37" spans="1:23" ht="12.75">
      <c r="A37" s="141">
        <f>+'SMAW-SMAW'!A37</f>
        <v>20</v>
      </c>
      <c r="B37" s="142">
        <v>0.75</v>
      </c>
      <c r="C37" s="143">
        <v>26.7</v>
      </c>
      <c r="D37" s="143">
        <v>5.56</v>
      </c>
      <c r="E37" s="144" t="s">
        <v>90</v>
      </c>
      <c r="F37" s="145">
        <f t="shared" si="0"/>
        <v>2</v>
      </c>
      <c r="G37" s="145">
        <f t="shared" si="16"/>
        <v>2</v>
      </c>
      <c r="H37" s="145">
        <f t="shared" si="17"/>
        <v>2</v>
      </c>
      <c r="I37" s="146">
        <f t="shared" si="18"/>
        <v>2.7316840772050988</v>
      </c>
      <c r="J37" s="147"/>
      <c r="K37" s="145">
        <f t="shared" si="19"/>
        <v>0</v>
      </c>
      <c r="L37" s="145">
        <f t="shared" si="20"/>
        <v>6</v>
      </c>
      <c r="M37" s="145">
        <f t="shared" si="21"/>
        <v>7.119999999999999</v>
      </c>
      <c r="N37" s="145">
        <f t="shared" si="22"/>
        <v>9.72479531485015</v>
      </c>
      <c r="O37" s="145">
        <f t="shared" si="23"/>
        <v>0</v>
      </c>
      <c r="P37" s="145">
        <f t="shared" si="24"/>
        <v>24.926736308820395</v>
      </c>
      <c r="Q37" s="147">
        <f t="shared" si="25"/>
        <v>41.77153162367054</v>
      </c>
      <c r="R37" s="147"/>
      <c r="S37" s="128">
        <f t="shared" si="26"/>
        <v>0.004023935130289266</v>
      </c>
      <c r="T37" s="128">
        <f t="shared" si="27"/>
        <v>0.04738684132668807</v>
      </c>
      <c r="U37" s="145">
        <f t="shared" si="28"/>
        <v>0</v>
      </c>
      <c r="V37" s="145">
        <f t="shared" si="29"/>
        <v>0</v>
      </c>
      <c r="W37" s="128">
        <f t="shared" si="15"/>
        <v>0</v>
      </c>
    </row>
    <row r="38" spans="1:23" ht="12.75">
      <c r="A38" s="141">
        <f>+'SMAW-SMAW'!A38</f>
        <v>21</v>
      </c>
      <c r="B38" s="142">
        <v>0.75</v>
      </c>
      <c r="C38" s="143">
        <v>26.7</v>
      </c>
      <c r="D38" s="143">
        <v>7.821</v>
      </c>
      <c r="E38" s="144" t="s">
        <v>83</v>
      </c>
      <c r="F38" s="145">
        <f t="shared" si="0"/>
        <v>2</v>
      </c>
      <c r="G38" s="145">
        <f t="shared" si="16"/>
        <v>2</v>
      </c>
      <c r="H38" s="145">
        <f t="shared" si="17"/>
        <v>2</v>
      </c>
      <c r="I38" s="146">
        <f t="shared" si="18"/>
        <v>4.466610397025528</v>
      </c>
      <c r="J38" s="147"/>
      <c r="K38" s="145">
        <f t="shared" si="19"/>
        <v>0</v>
      </c>
      <c r="L38" s="145">
        <f t="shared" si="20"/>
        <v>6</v>
      </c>
      <c r="M38" s="145">
        <f t="shared" si="21"/>
        <v>11.642</v>
      </c>
      <c r="N38" s="145">
        <f t="shared" si="22"/>
        <v>26.0001391210856</v>
      </c>
      <c r="O38" s="145">
        <f t="shared" si="23"/>
        <v>0</v>
      </c>
      <c r="P38" s="145">
        <f t="shared" si="24"/>
        <v>31.866441588102113</v>
      </c>
      <c r="Q38" s="147">
        <f t="shared" si="25"/>
        <v>69.50858070918771</v>
      </c>
      <c r="R38" s="147"/>
      <c r="S38" s="128">
        <f t="shared" si="26"/>
        <v>0.003094607517461479</v>
      </c>
      <c r="T38" s="128">
        <f t="shared" si="27"/>
        <v>0.07512585080851293</v>
      </c>
      <c r="U38" s="145">
        <f t="shared" si="28"/>
        <v>0</v>
      </c>
      <c r="V38" s="145">
        <f t="shared" si="29"/>
        <v>0</v>
      </c>
      <c r="W38" s="128">
        <f t="shared" si="15"/>
        <v>0</v>
      </c>
    </row>
    <row r="39" spans="1:23" ht="12.75">
      <c r="A39" s="141">
        <f>+'SMAW-SMAW'!A39</f>
        <v>22</v>
      </c>
      <c r="B39" s="142"/>
      <c r="C39" s="143"/>
      <c r="D39" s="143"/>
      <c r="E39" s="144"/>
      <c r="F39" s="145"/>
      <c r="G39" s="145"/>
      <c r="H39" s="145"/>
      <c r="I39" s="146"/>
      <c r="J39" s="147"/>
      <c r="K39" s="145"/>
      <c r="L39" s="145"/>
      <c r="M39" s="145"/>
      <c r="N39" s="145"/>
      <c r="O39" s="145"/>
      <c r="P39" s="145"/>
      <c r="Q39" s="147"/>
      <c r="R39" s="147"/>
      <c r="S39" s="128"/>
      <c r="T39" s="128"/>
      <c r="U39" s="145"/>
      <c r="V39" s="145"/>
      <c r="W39" s="128">
        <f t="shared" si="15"/>
        <v>0</v>
      </c>
    </row>
    <row r="40" spans="1:23" ht="12.75">
      <c r="A40" s="141">
        <f>+'SMAW-SMAW'!A40</f>
        <v>23</v>
      </c>
      <c r="B40" s="142">
        <v>1</v>
      </c>
      <c r="C40" s="143">
        <v>33.4</v>
      </c>
      <c r="D40" s="143">
        <v>1.65</v>
      </c>
      <c r="E40" s="144" t="s">
        <v>81</v>
      </c>
      <c r="F40" s="145">
        <f t="shared" si="0"/>
        <v>2</v>
      </c>
      <c r="G40" s="145">
        <f t="shared" si="16"/>
        <v>1.65</v>
      </c>
      <c r="H40" s="145">
        <f>IF(D40&lt;=19,2,3)</f>
        <v>2</v>
      </c>
      <c r="I40" s="146">
        <f>IF(D40&lt;=19,(D40-G40)*TAN($C$8*PI()/180),(19-G40)*TAN($C$8*PI()/180))</f>
        <v>0</v>
      </c>
      <c r="J40" s="147"/>
      <c r="K40" s="145">
        <f>IF(D40&lt;=19,0,(D40-19)*TAN($C$10*PI()/180))</f>
        <v>0</v>
      </c>
      <c r="L40" s="145">
        <f>+F40*(G40*1.5)</f>
        <v>4.949999999999999</v>
      </c>
      <c r="M40" s="145">
        <f>+F40*(D40-G40)</f>
        <v>0</v>
      </c>
      <c r="N40" s="145">
        <f>IF(D40&lt;=19,(D40-G40)*I40,(19-G40)*I40)</f>
        <v>0</v>
      </c>
      <c r="O40" s="145">
        <f>IF(D40&lt;=19,0,(I40*(D40-19)*2)+((K40)*(D40-19)))</f>
        <v>0</v>
      </c>
      <c r="P40" s="145">
        <f>+(5+F40+(2*(I40+K40)))*H40</f>
        <v>14</v>
      </c>
      <c r="Q40" s="147">
        <f>SUM(M40:P40)</f>
        <v>14</v>
      </c>
      <c r="R40" s="147"/>
      <c r="S40" s="128">
        <f>IF(D$6=1,(PI()*(C40-(2*D40)+(2*G40))*L40*0.1*0.01*7.85*0.001/(S$16*S$17)),0)</f>
        <v>0.005662897472682366</v>
      </c>
      <c r="T40" s="128">
        <f>IF(D$6=1,(PI()*(C40-(0.5*D40))*(Q40)*0.1*0.01*7.85*0.001/(T$16*T$17)),0)</f>
        <v>0.02162861180366645</v>
      </c>
      <c r="U40" s="145">
        <f>IF(D$6=1,0,(PI()*(C40-(2*D40)+(2*G40))*L40*0.1*0.01*7.85*0.001/(U$16*U$17)))</f>
        <v>0</v>
      </c>
      <c r="V40" s="145">
        <f>IF(D$6=1,0,(PI()*(C40-(0.5*D40))*(Q40)*0.1*0.01*7.85*0.001/(V$16*V$17)))</f>
        <v>0</v>
      </c>
      <c r="W40" s="128">
        <f t="shared" si="15"/>
        <v>0</v>
      </c>
    </row>
    <row r="41" spans="1:23" ht="12.75">
      <c r="A41" s="141">
        <f>+'SMAW-SMAW'!A41</f>
        <v>24</v>
      </c>
      <c r="B41" s="142">
        <v>1</v>
      </c>
      <c r="C41" s="143">
        <v>33.4</v>
      </c>
      <c r="D41" s="143">
        <v>2.77</v>
      </c>
      <c r="E41" s="144" t="s">
        <v>84</v>
      </c>
      <c r="F41" s="145">
        <f t="shared" si="0"/>
        <v>2</v>
      </c>
      <c r="G41" s="145">
        <f t="shared" si="16"/>
        <v>2</v>
      </c>
      <c r="H41" s="145">
        <f aca="true" t="shared" si="30" ref="H41:H49">IF(D41&lt;=19,2,3)</f>
        <v>2</v>
      </c>
      <c r="I41" s="146">
        <f aca="true" t="shared" si="31" ref="I41:I49">IF(D41&lt;=19,(D41-G41)*TAN($C$8*PI()/180),(19-G41)*TAN($C$8*PI()/180))</f>
        <v>0.5908417807437994</v>
      </c>
      <c r="J41" s="147"/>
      <c r="K41" s="145">
        <f aca="true" t="shared" si="32" ref="K41:K49">IF(D41&lt;=19,0,(D41-19)*TAN($C$10*PI()/180))</f>
        <v>0</v>
      </c>
      <c r="L41" s="145">
        <f aca="true" t="shared" si="33" ref="L41:L49">+F41*(G41*1.5)</f>
        <v>6</v>
      </c>
      <c r="M41" s="145">
        <f aca="true" t="shared" si="34" ref="M41:M49">+F41*(D41-G41)</f>
        <v>1.54</v>
      </c>
      <c r="N41" s="145">
        <f aca="true" t="shared" si="35" ref="N41:N49">IF(D41&lt;=19,(D41-G41)*I41,(19-G41)*I41)</f>
        <v>0.45494817117272557</v>
      </c>
      <c r="O41" s="145">
        <f aca="true" t="shared" si="36" ref="O41:O49">IF(D41&lt;=19,0,(I41*(D41-19)*2)+((K41)*(D41-19)))</f>
        <v>0</v>
      </c>
      <c r="P41" s="145">
        <f aca="true" t="shared" si="37" ref="P41:P49">+(5+F41+(2*(I41+K41)))*H41</f>
        <v>16.3633671229752</v>
      </c>
      <c r="Q41" s="147">
        <f aca="true" t="shared" si="38" ref="Q41:Q49">SUM(M41:P41)</f>
        <v>18.358315294147925</v>
      </c>
      <c r="R41" s="147"/>
      <c r="S41" s="128">
        <f aca="true" t="shared" si="39" ref="S41:S49">IF(D$6=1,(PI()*(C41-(2*D41)+(2*G41))*L41*0.1*0.01*7.85*0.001/(S$16*S$17)),0)</f>
        <v>0.006547628868795506</v>
      </c>
      <c r="T41" s="128">
        <f aca="true" t="shared" si="40" ref="T41:T49">IF(D$6=1,(PI()*(C41-(0.5*D41))*(Q41)*0.1*0.01*7.85*0.001/(T$16*T$17)),0)</f>
        <v>0.027874206707266792</v>
      </c>
      <c r="U41" s="145">
        <f aca="true" t="shared" si="41" ref="U41:U49">IF(D$6=1,0,(PI()*(C41-(2*D41)+(2*G41))*L41*0.1*0.01*7.85*0.001/(U$16*U$17)))</f>
        <v>0</v>
      </c>
      <c r="V41" s="145">
        <f aca="true" t="shared" si="42" ref="V41:V49">IF(D$6=1,0,(PI()*(C41-(0.5*D41))*(Q41)*0.1*0.01*7.85*0.001/(V$16*V$17)))</f>
        <v>0</v>
      </c>
      <c r="W41" s="128">
        <f t="shared" si="15"/>
        <v>0</v>
      </c>
    </row>
    <row r="42" spans="1:23" ht="12.75">
      <c r="A42" s="141">
        <f>+'SMAW-SMAW'!A42</f>
        <v>25</v>
      </c>
      <c r="B42" s="142">
        <v>1</v>
      </c>
      <c r="C42" s="143">
        <v>33.4</v>
      </c>
      <c r="D42" s="143">
        <v>3.38</v>
      </c>
      <c r="E42" s="144" t="s">
        <v>85</v>
      </c>
      <c r="F42" s="145">
        <f t="shared" si="0"/>
        <v>2</v>
      </c>
      <c r="G42" s="145">
        <f t="shared" si="16"/>
        <v>2</v>
      </c>
      <c r="H42" s="145">
        <f t="shared" si="30"/>
        <v>2</v>
      </c>
      <c r="I42" s="146">
        <f t="shared" si="31"/>
        <v>1.0589112434109653</v>
      </c>
      <c r="J42" s="147"/>
      <c r="K42" s="145">
        <f t="shared" si="32"/>
        <v>0</v>
      </c>
      <c r="L42" s="145">
        <f t="shared" si="33"/>
        <v>6</v>
      </c>
      <c r="M42" s="145">
        <f t="shared" si="34"/>
        <v>2.76</v>
      </c>
      <c r="N42" s="145">
        <f t="shared" si="35"/>
        <v>1.461297515907132</v>
      </c>
      <c r="O42" s="145">
        <f t="shared" si="36"/>
        <v>0</v>
      </c>
      <c r="P42" s="145">
        <f t="shared" si="37"/>
        <v>18.23564497364386</v>
      </c>
      <c r="Q42" s="147">
        <f t="shared" si="38"/>
        <v>22.456942489550993</v>
      </c>
      <c r="R42" s="147"/>
      <c r="S42" s="128">
        <f t="shared" si="39"/>
        <v>0.00629690359510026</v>
      </c>
      <c r="T42" s="128">
        <f t="shared" si="40"/>
        <v>0.033772487890392</v>
      </c>
      <c r="U42" s="145">
        <f t="shared" si="41"/>
        <v>0</v>
      </c>
      <c r="V42" s="145">
        <f t="shared" si="42"/>
        <v>0</v>
      </c>
      <c r="W42" s="128">
        <f t="shared" si="15"/>
        <v>0</v>
      </c>
    </row>
    <row r="43" spans="1:23" ht="12.75">
      <c r="A43" s="141">
        <f>+'SMAW-SMAW'!A43</f>
        <v>26</v>
      </c>
      <c r="B43" s="142">
        <v>1</v>
      </c>
      <c r="C43" s="143">
        <v>33.4</v>
      </c>
      <c r="D43" s="143">
        <v>3.38</v>
      </c>
      <c r="E43" s="144" t="s">
        <v>86</v>
      </c>
      <c r="F43" s="145">
        <f t="shared" si="0"/>
        <v>2</v>
      </c>
      <c r="G43" s="145">
        <f t="shared" si="16"/>
        <v>2</v>
      </c>
      <c r="H43" s="145">
        <f t="shared" si="30"/>
        <v>2</v>
      </c>
      <c r="I43" s="146">
        <f t="shared" si="31"/>
        <v>1.0589112434109653</v>
      </c>
      <c r="J43" s="147"/>
      <c r="K43" s="145">
        <f t="shared" si="32"/>
        <v>0</v>
      </c>
      <c r="L43" s="145">
        <f t="shared" si="33"/>
        <v>6</v>
      </c>
      <c r="M43" s="145">
        <f t="shared" si="34"/>
        <v>2.76</v>
      </c>
      <c r="N43" s="145">
        <f t="shared" si="35"/>
        <v>1.461297515907132</v>
      </c>
      <c r="O43" s="145">
        <f t="shared" si="36"/>
        <v>0</v>
      </c>
      <c r="P43" s="145">
        <f t="shared" si="37"/>
        <v>18.23564497364386</v>
      </c>
      <c r="Q43" s="147">
        <f t="shared" si="38"/>
        <v>22.456942489550993</v>
      </c>
      <c r="R43" s="147"/>
      <c r="S43" s="128">
        <f t="shared" si="39"/>
        <v>0.00629690359510026</v>
      </c>
      <c r="T43" s="128">
        <f t="shared" si="40"/>
        <v>0.033772487890392</v>
      </c>
      <c r="U43" s="145">
        <f t="shared" si="41"/>
        <v>0</v>
      </c>
      <c r="V43" s="145">
        <f t="shared" si="42"/>
        <v>0</v>
      </c>
      <c r="W43" s="128">
        <f t="shared" si="15"/>
        <v>0</v>
      </c>
    </row>
    <row r="44" spans="1:23" ht="12.75">
      <c r="A44" s="141">
        <f>+'SMAW-SMAW'!A44</f>
        <v>27</v>
      </c>
      <c r="B44" s="142">
        <v>1</v>
      </c>
      <c r="C44" s="143">
        <v>33.4</v>
      </c>
      <c r="D44" s="143">
        <v>3.38</v>
      </c>
      <c r="E44" s="144" t="s">
        <v>87</v>
      </c>
      <c r="F44" s="145">
        <f t="shared" si="0"/>
        <v>2</v>
      </c>
      <c r="G44" s="145">
        <f t="shared" si="16"/>
        <v>2</v>
      </c>
      <c r="H44" s="145">
        <f t="shared" si="30"/>
        <v>2</v>
      </c>
      <c r="I44" s="146">
        <f t="shared" si="31"/>
        <v>1.0589112434109653</v>
      </c>
      <c r="J44" s="147"/>
      <c r="K44" s="145">
        <f t="shared" si="32"/>
        <v>0</v>
      </c>
      <c r="L44" s="145">
        <f t="shared" si="33"/>
        <v>6</v>
      </c>
      <c r="M44" s="145">
        <f t="shared" si="34"/>
        <v>2.76</v>
      </c>
      <c r="N44" s="145">
        <f t="shared" si="35"/>
        <v>1.461297515907132</v>
      </c>
      <c r="O44" s="145">
        <f t="shared" si="36"/>
        <v>0</v>
      </c>
      <c r="P44" s="145">
        <f t="shared" si="37"/>
        <v>18.23564497364386</v>
      </c>
      <c r="Q44" s="147">
        <f t="shared" si="38"/>
        <v>22.456942489550993</v>
      </c>
      <c r="R44" s="147"/>
      <c r="S44" s="128">
        <f t="shared" si="39"/>
        <v>0.00629690359510026</v>
      </c>
      <c r="T44" s="128">
        <f t="shared" si="40"/>
        <v>0.033772487890392</v>
      </c>
      <c r="U44" s="145">
        <f t="shared" si="41"/>
        <v>0</v>
      </c>
      <c r="V44" s="145">
        <f t="shared" si="42"/>
        <v>0</v>
      </c>
      <c r="W44" s="128">
        <f t="shared" si="15"/>
        <v>0</v>
      </c>
    </row>
    <row r="45" spans="1:23" ht="12.75">
      <c r="A45" s="141">
        <f>+'SMAW-SMAW'!A45</f>
        <v>28</v>
      </c>
      <c r="B45" s="142">
        <v>1</v>
      </c>
      <c r="C45" s="143">
        <v>33.4</v>
      </c>
      <c r="D45" s="143">
        <v>4.55</v>
      </c>
      <c r="E45" s="144" t="s">
        <v>88</v>
      </c>
      <c r="F45" s="145">
        <f t="shared" si="0"/>
        <v>2</v>
      </c>
      <c r="G45" s="145">
        <f t="shared" si="16"/>
        <v>2</v>
      </c>
      <c r="H45" s="145">
        <f t="shared" si="30"/>
        <v>2</v>
      </c>
      <c r="I45" s="146">
        <f t="shared" si="31"/>
        <v>1.9566838193463487</v>
      </c>
      <c r="J45" s="147"/>
      <c r="K45" s="145">
        <f t="shared" si="32"/>
        <v>0</v>
      </c>
      <c r="L45" s="145">
        <f t="shared" si="33"/>
        <v>6</v>
      </c>
      <c r="M45" s="145">
        <f t="shared" si="34"/>
        <v>5.1</v>
      </c>
      <c r="N45" s="145">
        <f t="shared" si="35"/>
        <v>4.989543739333189</v>
      </c>
      <c r="O45" s="145">
        <f t="shared" si="36"/>
        <v>0</v>
      </c>
      <c r="P45" s="145">
        <f t="shared" si="37"/>
        <v>21.826735277385396</v>
      </c>
      <c r="Q45" s="147">
        <f t="shared" si="38"/>
        <v>31.916279016718583</v>
      </c>
      <c r="R45" s="147"/>
      <c r="S45" s="128">
        <f t="shared" si="39"/>
        <v>0.0058160042996520025</v>
      </c>
      <c r="T45" s="128">
        <f t="shared" si="40"/>
        <v>0.047112678834134905</v>
      </c>
      <c r="U45" s="145">
        <f t="shared" si="41"/>
        <v>0</v>
      </c>
      <c r="V45" s="145">
        <f t="shared" si="42"/>
        <v>0</v>
      </c>
      <c r="W45" s="128">
        <f t="shared" si="15"/>
        <v>0</v>
      </c>
    </row>
    <row r="46" spans="1:23" ht="12.75">
      <c r="A46" s="141">
        <f>+'SMAW-SMAW'!A46</f>
        <v>29</v>
      </c>
      <c r="B46" s="142">
        <v>1</v>
      </c>
      <c r="C46" s="143">
        <v>33.4</v>
      </c>
      <c r="D46" s="143">
        <v>4.55</v>
      </c>
      <c r="E46" s="144" t="s">
        <v>82</v>
      </c>
      <c r="F46" s="145">
        <f t="shared" si="0"/>
        <v>2</v>
      </c>
      <c r="G46" s="145">
        <f t="shared" si="16"/>
        <v>2</v>
      </c>
      <c r="H46" s="145">
        <f t="shared" si="30"/>
        <v>2</v>
      </c>
      <c r="I46" s="146">
        <f t="shared" si="31"/>
        <v>1.9566838193463487</v>
      </c>
      <c r="J46" s="147"/>
      <c r="K46" s="145">
        <f t="shared" si="32"/>
        <v>0</v>
      </c>
      <c r="L46" s="145">
        <f t="shared" si="33"/>
        <v>6</v>
      </c>
      <c r="M46" s="145">
        <f t="shared" si="34"/>
        <v>5.1</v>
      </c>
      <c r="N46" s="145">
        <f t="shared" si="35"/>
        <v>4.989543739333189</v>
      </c>
      <c r="O46" s="145">
        <f t="shared" si="36"/>
        <v>0</v>
      </c>
      <c r="P46" s="145">
        <f t="shared" si="37"/>
        <v>21.826735277385396</v>
      </c>
      <c r="Q46" s="147">
        <f t="shared" si="38"/>
        <v>31.916279016718583</v>
      </c>
      <c r="R46" s="147"/>
      <c r="S46" s="128">
        <f t="shared" si="39"/>
        <v>0.0058160042996520025</v>
      </c>
      <c r="T46" s="128">
        <f t="shared" si="40"/>
        <v>0.047112678834134905</v>
      </c>
      <c r="U46" s="145">
        <f t="shared" si="41"/>
        <v>0</v>
      </c>
      <c r="V46" s="145">
        <f t="shared" si="42"/>
        <v>0</v>
      </c>
      <c r="W46" s="128">
        <f t="shared" si="15"/>
        <v>0</v>
      </c>
    </row>
    <row r="47" spans="1:23" ht="12.75">
      <c r="A47" s="141">
        <f>+'SMAW-SMAW'!A47</f>
        <v>30</v>
      </c>
      <c r="B47" s="142">
        <v>1</v>
      </c>
      <c r="C47" s="143">
        <v>33.4</v>
      </c>
      <c r="D47" s="143">
        <v>4.55</v>
      </c>
      <c r="E47" s="144" t="s">
        <v>89</v>
      </c>
      <c r="F47" s="145">
        <f t="shared" si="0"/>
        <v>2</v>
      </c>
      <c r="G47" s="145">
        <f t="shared" si="16"/>
        <v>2</v>
      </c>
      <c r="H47" s="145">
        <f t="shared" si="30"/>
        <v>2</v>
      </c>
      <c r="I47" s="146">
        <f t="shared" si="31"/>
        <v>1.9566838193463487</v>
      </c>
      <c r="J47" s="147"/>
      <c r="K47" s="145">
        <f t="shared" si="32"/>
        <v>0</v>
      </c>
      <c r="L47" s="145">
        <f t="shared" si="33"/>
        <v>6</v>
      </c>
      <c r="M47" s="145">
        <f t="shared" si="34"/>
        <v>5.1</v>
      </c>
      <c r="N47" s="145">
        <f t="shared" si="35"/>
        <v>4.989543739333189</v>
      </c>
      <c r="O47" s="145">
        <f t="shared" si="36"/>
        <v>0</v>
      </c>
      <c r="P47" s="145">
        <f t="shared" si="37"/>
        <v>21.826735277385396</v>
      </c>
      <c r="Q47" s="147">
        <f t="shared" si="38"/>
        <v>31.916279016718583</v>
      </c>
      <c r="R47" s="147"/>
      <c r="S47" s="128">
        <f t="shared" si="39"/>
        <v>0.0058160042996520025</v>
      </c>
      <c r="T47" s="128">
        <f t="shared" si="40"/>
        <v>0.047112678834134905</v>
      </c>
      <c r="U47" s="145">
        <f t="shared" si="41"/>
        <v>0</v>
      </c>
      <c r="V47" s="145">
        <f t="shared" si="42"/>
        <v>0</v>
      </c>
      <c r="W47" s="128">
        <f t="shared" si="15"/>
        <v>0</v>
      </c>
    </row>
    <row r="48" spans="1:23" ht="12.75">
      <c r="A48" s="141">
        <f>+'SMAW-SMAW'!A48</f>
        <v>31</v>
      </c>
      <c r="B48" s="142">
        <v>1</v>
      </c>
      <c r="C48" s="143">
        <v>33.4</v>
      </c>
      <c r="D48" s="143">
        <v>6.35</v>
      </c>
      <c r="E48" s="144" t="s">
        <v>90</v>
      </c>
      <c r="F48" s="145">
        <f t="shared" si="0"/>
        <v>2</v>
      </c>
      <c r="G48" s="145">
        <f t="shared" si="16"/>
        <v>2</v>
      </c>
      <c r="H48" s="145">
        <f t="shared" si="30"/>
        <v>2</v>
      </c>
      <c r="I48" s="146">
        <f t="shared" si="31"/>
        <v>3.337872397708477</v>
      </c>
      <c r="J48" s="147"/>
      <c r="K48" s="145">
        <f t="shared" si="32"/>
        <v>0</v>
      </c>
      <c r="L48" s="145">
        <f t="shared" si="33"/>
        <v>6</v>
      </c>
      <c r="M48" s="145">
        <f t="shared" si="34"/>
        <v>8.7</v>
      </c>
      <c r="N48" s="145">
        <f t="shared" si="35"/>
        <v>14.519744930031875</v>
      </c>
      <c r="O48" s="145">
        <f t="shared" si="36"/>
        <v>0</v>
      </c>
      <c r="P48" s="145">
        <f t="shared" si="37"/>
        <v>27.351489590833907</v>
      </c>
      <c r="Q48" s="147">
        <f t="shared" si="38"/>
        <v>50.57123452086578</v>
      </c>
      <c r="R48" s="147"/>
      <c r="S48" s="128">
        <f t="shared" si="39"/>
        <v>0.005076159229731607</v>
      </c>
      <c r="T48" s="128">
        <f t="shared" si="40"/>
        <v>0.07249132717134822</v>
      </c>
      <c r="U48" s="145">
        <f t="shared" si="41"/>
        <v>0</v>
      </c>
      <c r="V48" s="145">
        <f t="shared" si="42"/>
        <v>0</v>
      </c>
      <c r="W48" s="128">
        <f t="shared" si="15"/>
        <v>0</v>
      </c>
    </row>
    <row r="49" spans="1:23" ht="12.75">
      <c r="A49" s="141">
        <f>+'SMAW-SMAW'!A49</f>
        <v>32</v>
      </c>
      <c r="B49" s="142">
        <v>1</v>
      </c>
      <c r="C49" s="143">
        <v>33.4</v>
      </c>
      <c r="D49" s="143">
        <v>9.091</v>
      </c>
      <c r="E49" s="144" t="s">
        <v>83</v>
      </c>
      <c r="F49" s="145">
        <f t="shared" si="0"/>
        <v>2</v>
      </c>
      <c r="G49" s="145">
        <f t="shared" si="16"/>
        <v>2</v>
      </c>
      <c r="H49" s="145">
        <f t="shared" si="30"/>
        <v>2</v>
      </c>
      <c r="I49" s="146">
        <f t="shared" si="31"/>
        <v>5.441115671758808</v>
      </c>
      <c r="J49" s="147"/>
      <c r="K49" s="145">
        <f t="shared" si="32"/>
        <v>0</v>
      </c>
      <c r="L49" s="145">
        <f t="shared" si="33"/>
        <v>6</v>
      </c>
      <c r="M49" s="145">
        <f t="shared" si="34"/>
        <v>14.181999999999999</v>
      </c>
      <c r="N49" s="145">
        <f t="shared" si="35"/>
        <v>38.5829512284417</v>
      </c>
      <c r="O49" s="145">
        <f t="shared" si="36"/>
        <v>0</v>
      </c>
      <c r="P49" s="145">
        <f t="shared" si="37"/>
        <v>35.764462687035234</v>
      </c>
      <c r="Q49" s="147">
        <f t="shared" si="38"/>
        <v>88.52941391547694</v>
      </c>
      <c r="R49" s="147"/>
      <c r="S49" s="128">
        <f t="shared" si="39"/>
        <v>0.003949539598258381</v>
      </c>
      <c r="T49" s="128">
        <f t="shared" si="40"/>
        <v>0.12114830103100034</v>
      </c>
      <c r="U49" s="145">
        <f t="shared" si="41"/>
        <v>0</v>
      </c>
      <c r="V49" s="145">
        <f t="shared" si="42"/>
        <v>0</v>
      </c>
      <c r="W49" s="128">
        <f t="shared" si="15"/>
        <v>0</v>
      </c>
    </row>
    <row r="50" spans="1:23" ht="12.75">
      <c r="A50" s="141">
        <f>+'SMAW-SMAW'!A50</f>
        <v>33</v>
      </c>
      <c r="B50" s="142"/>
      <c r="C50" s="143"/>
      <c r="D50" s="143"/>
      <c r="E50" s="144"/>
      <c r="F50" s="145"/>
      <c r="G50" s="145"/>
      <c r="H50" s="145"/>
      <c r="I50" s="146"/>
      <c r="J50" s="147"/>
      <c r="K50" s="145"/>
      <c r="L50" s="145"/>
      <c r="M50" s="145"/>
      <c r="N50" s="145"/>
      <c r="O50" s="145"/>
      <c r="P50" s="145"/>
      <c r="Q50" s="147"/>
      <c r="R50" s="147"/>
      <c r="S50" s="128"/>
      <c r="T50" s="128"/>
      <c r="U50" s="145"/>
      <c r="V50" s="145"/>
      <c r="W50" s="128">
        <f t="shared" si="15"/>
        <v>0</v>
      </c>
    </row>
    <row r="51" spans="1:23" ht="12.75">
      <c r="A51" s="141">
        <f>+'SMAW-SMAW'!A51</f>
        <v>34</v>
      </c>
      <c r="B51" s="142">
        <v>1.25</v>
      </c>
      <c r="C51" s="143">
        <v>42.65</v>
      </c>
      <c r="D51" s="143">
        <v>1.65</v>
      </c>
      <c r="E51" s="144" t="s">
        <v>81</v>
      </c>
      <c r="F51" s="145">
        <f t="shared" si="0"/>
        <v>2</v>
      </c>
      <c r="G51" s="145">
        <f t="shared" si="16"/>
        <v>1.65</v>
      </c>
      <c r="H51" s="145">
        <f>IF(D51&lt;=19,2,3)</f>
        <v>2</v>
      </c>
      <c r="I51" s="146">
        <f>IF(D51&lt;=19,(D51-G51)*TAN($C$8*PI()/180),(19-G51)*TAN($C$8*PI()/180))</f>
        <v>0</v>
      </c>
      <c r="J51" s="147"/>
      <c r="K51" s="145">
        <f>IF(D51&lt;=19,0,(D51-19)*TAN($C$10*PI()/180))</f>
        <v>0</v>
      </c>
      <c r="L51" s="145">
        <f>+F51*(G51*1.5)</f>
        <v>4.949999999999999</v>
      </c>
      <c r="M51" s="145">
        <f>+F51*(D51-G51)</f>
        <v>0</v>
      </c>
      <c r="N51" s="145">
        <f>IF(D51&lt;=19,(D51-G51)*I51,(19-G51)*I51)</f>
        <v>0</v>
      </c>
      <c r="O51" s="145">
        <f>IF(D51&lt;=19,0,(I51*(D51-19)*2)+((K51)*(D51-19)))</f>
        <v>0</v>
      </c>
      <c r="P51" s="145">
        <f>+(5+F51+(2*(I51+K51)))*H51</f>
        <v>14</v>
      </c>
      <c r="Q51" s="147">
        <f>SUM(M51:P51)</f>
        <v>14</v>
      </c>
      <c r="R51" s="147"/>
      <c r="S51" s="128">
        <f>IF(D$6=1,(PI()*(C51-(2*D51)+(2*G51))*L51*0.1*0.01*7.85*0.001/(S$16*S$17)),0)</f>
        <v>0.007231214886524037</v>
      </c>
      <c r="T51" s="128">
        <f>IF(D$6=1,(PI()*(C51-(0.5*D51))*(Q51)*0.1*0.01*7.85*0.001/(T$16*T$17)),0)</f>
        <v>0.027770274403326158</v>
      </c>
      <c r="U51" s="145">
        <f>IF(D$6=1,0,(PI()*(C51-(2*D51)+(2*G51))*L51*0.1*0.01*7.85*0.001/(U$16*U$17)))</f>
        <v>0</v>
      </c>
      <c r="V51" s="145">
        <f>IF(D$6=1,0,(PI()*(C51-(0.5*D51))*(Q51)*0.1*0.01*7.85*0.001/(V$16*V$17)))</f>
        <v>0</v>
      </c>
      <c r="W51" s="128">
        <f t="shared" si="15"/>
        <v>0</v>
      </c>
    </row>
    <row r="52" spans="1:23" ht="12.75">
      <c r="A52" s="141">
        <f>+'SMAW-SMAW'!A52</f>
        <v>35</v>
      </c>
      <c r="B52" s="142">
        <v>1.25</v>
      </c>
      <c r="C52" s="143">
        <v>42.65</v>
      </c>
      <c r="D52" s="143">
        <v>2.77</v>
      </c>
      <c r="E52" s="144" t="s">
        <v>84</v>
      </c>
      <c r="F52" s="145">
        <f t="shared" si="0"/>
        <v>2</v>
      </c>
      <c r="G52" s="145">
        <f t="shared" si="16"/>
        <v>2</v>
      </c>
      <c r="H52" s="145">
        <f aca="true" t="shared" si="43" ref="H52:H60">IF(D52&lt;=19,2,3)</f>
        <v>2</v>
      </c>
      <c r="I52" s="146">
        <f aca="true" t="shared" si="44" ref="I52:I60">IF(D52&lt;=19,(D52-G52)*TAN($C$8*PI()/180),(19-G52)*TAN($C$8*PI()/180))</f>
        <v>0.5908417807437994</v>
      </c>
      <c r="J52" s="147"/>
      <c r="K52" s="145">
        <f aca="true" t="shared" si="45" ref="K52:K60">IF(D52&lt;=19,0,(D52-19)*TAN($C$10*PI()/180))</f>
        <v>0</v>
      </c>
      <c r="L52" s="145">
        <f aca="true" t="shared" si="46" ref="L52:L60">+F52*(G52*1.5)</f>
        <v>6</v>
      </c>
      <c r="M52" s="145">
        <f aca="true" t="shared" si="47" ref="M52:M60">+F52*(D52-G52)</f>
        <v>1.54</v>
      </c>
      <c r="N52" s="145">
        <f aca="true" t="shared" si="48" ref="N52:N60">IF(D52&lt;=19,(D52-G52)*I52,(19-G52)*I52)</f>
        <v>0.45494817117272557</v>
      </c>
      <c r="O52" s="145">
        <f aca="true" t="shared" si="49" ref="O52:O60">IF(D52&lt;=19,0,(I52*(D52-19)*2)+((K52)*(D52-19)))</f>
        <v>0</v>
      </c>
      <c r="P52" s="145">
        <f aca="true" t="shared" si="50" ref="P52:P60">+(5+F52+(2*(I52+K52)))*H52</f>
        <v>16.3633671229752</v>
      </c>
      <c r="Q52" s="147">
        <f aca="true" t="shared" si="51" ref="Q52:Q60">SUM(M52:P52)</f>
        <v>18.358315294147925</v>
      </c>
      <c r="R52" s="147"/>
      <c r="S52" s="128">
        <f aca="true" t="shared" si="52" ref="S52:S60">IF(D$6=1,(PI()*(C52-(2*D52)+(2*G52))*L52*0.1*0.01*7.85*0.001/(S$16*S$17)),0)</f>
        <v>0.00844861967345208</v>
      </c>
      <c r="T52" s="128">
        <f aca="true" t="shared" si="53" ref="T52:T60">IF(D$6=1,(PI()*(C52-(0.5*D52))*(Q52)*0.1*0.01*7.85*0.001/(T$16*T$17)),0)</f>
        <v>0.03592781945261172</v>
      </c>
      <c r="U52" s="145">
        <f aca="true" t="shared" si="54" ref="U52:U60">IF(D$6=1,0,(PI()*(C52-(2*D52)+(2*G52))*L52*0.1*0.01*7.85*0.001/(U$16*U$17)))</f>
        <v>0</v>
      </c>
      <c r="V52" s="145">
        <f aca="true" t="shared" si="55" ref="V52:V60">IF(D$6=1,0,(PI()*(C52-(0.5*D52))*(Q52)*0.1*0.01*7.85*0.001/(V$16*V$17)))</f>
        <v>0</v>
      </c>
      <c r="W52" s="128">
        <f t="shared" si="15"/>
        <v>0</v>
      </c>
    </row>
    <row r="53" spans="1:23" ht="12.75">
      <c r="A53" s="141">
        <f>+'SMAW-SMAW'!A53</f>
        <v>36</v>
      </c>
      <c r="B53" s="142">
        <v>1.25</v>
      </c>
      <c r="C53" s="143">
        <v>42.65</v>
      </c>
      <c r="D53" s="143">
        <v>3.56</v>
      </c>
      <c r="E53" s="144" t="s">
        <v>85</v>
      </c>
      <c r="F53" s="145">
        <f t="shared" si="0"/>
        <v>2</v>
      </c>
      <c r="G53" s="145">
        <f t="shared" si="16"/>
        <v>2</v>
      </c>
      <c r="H53" s="145">
        <f t="shared" si="43"/>
        <v>2</v>
      </c>
      <c r="I53" s="146">
        <f t="shared" si="44"/>
        <v>1.1970301012471782</v>
      </c>
      <c r="J53" s="147"/>
      <c r="K53" s="145">
        <f t="shared" si="45"/>
        <v>0</v>
      </c>
      <c r="L53" s="145">
        <f t="shared" si="46"/>
        <v>6</v>
      </c>
      <c r="M53" s="145">
        <f t="shared" si="47"/>
        <v>3.12</v>
      </c>
      <c r="N53" s="145">
        <f t="shared" si="48"/>
        <v>1.867366957945598</v>
      </c>
      <c r="O53" s="145">
        <f t="shared" si="49"/>
        <v>0</v>
      </c>
      <c r="P53" s="145">
        <f t="shared" si="50"/>
        <v>18.788120404988714</v>
      </c>
      <c r="Q53" s="147">
        <f t="shared" si="51"/>
        <v>23.775487362934314</v>
      </c>
      <c r="R53" s="147"/>
      <c r="S53" s="128">
        <f t="shared" si="52"/>
        <v>0.008123909892764796</v>
      </c>
      <c r="T53" s="128">
        <f t="shared" si="53"/>
        <v>0.04608400887839309</v>
      </c>
      <c r="U53" s="145">
        <f t="shared" si="54"/>
        <v>0</v>
      </c>
      <c r="V53" s="145">
        <f t="shared" si="55"/>
        <v>0</v>
      </c>
      <c r="W53" s="128">
        <f t="shared" si="15"/>
        <v>0</v>
      </c>
    </row>
    <row r="54" spans="1:23" ht="12.75">
      <c r="A54" s="141">
        <f>+'SMAW-SMAW'!A54</f>
        <v>37</v>
      </c>
      <c r="B54" s="142">
        <v>1.25</v>
      </c>
      <c r="C54" s="143">
        <v>42.65</v>
      </c>
      <c r="D54" s="143">
        <v>3.56</v>
      </c>
      <c r="E54" s="144" t="s">
        <v>86</v>
      </c>
      <c r="F54" s="145">
        <f t="shared" si="0"/>
        <v>2</v>
      </c>
      <c r="G54" s="145">
        <f t="shared" si="16"/>
        <v>2</v>
      </c>
      <c r="H54" s="145">
        <f t="shared" si="43"/>
        <v>2</v>
      </c>
      <c r="I54" s="146">
        <f t="shared" si="44"/>
        <v>1.1970301012471782</v>
      </c>
      <c r="J54" s="147"/>
      <c r="K54" s="145">
        <f t="shared" si="45"/>
        <v>0</v>
      </c>
      <c r="L54" s="145">
        <f t="shared" si="46"/>
        <v>6</v>
      </c>
      <c r="M54" s="145">
        <f t="shared" si="47"/>
        <v>3.12</v>
      </c>
      <c r="N54" s="145">
        <f t="shared" si="48"/>
        <v>1.867366957945598</v>
      </c>
      <c r="O54" s="145">
        <f t="shared" si="49"/>
        <v>0</v>
      </c>
      <c r="P54" s="145">
        <f t="shared" si="50"/>
        <v>18.788120404988714</v>
      </c>
      <c r="Q54" s="147">
        <f t="shared" si="51"/>
        <v>23.775487362934314</v>
      </c>
      <c r="R54" s="147"/>
      <c r="S54" s="128">
        <f t="shared" si="52"/>
        <v>0.008123909892764796</v>
      </c>
      <c r="T54" s="128">
        <f t="shared" si="53"/>
        <v>0.04608400887839309</v>
      </c>
      <c r="U54" s="145">
        <f t="shared" si="54"/>
        <v>0</v>
      </c>
      <c r="V54" s="145">
        <f t="shared" si="55"/>
        <v>0</v>
      </c>
      <c r="W54" s="128">
        <f t="shared" si="15"/>
        <v>0</v>
      </c>
    </row>
    <row r="55" spans="1:23" ht="12.75">
      <c r="A55" s="141">
        <f>+'SMAW-SMAW'!A55</f>
        <v>38</v>
      </c>
      <c r="B55" s="142">
        <v>1.25</v>
      </c>
      <c r="C55" s="143">
        <v>42.65</v>
      </c>
      <c r="D55" s="143">
        <v>3.56</v>
      </c>
      <c r="E55" s="144" t="s">
        <v>87</v>
      </c>
      <c r="F55" s="145">
        <f t="shared" si="0"/>
        <v>2</v>
      </c>
      <c r="G55" s="145">
        <f t="shared" si="16"/>
        <v>2</v>
      </c>
      <c r="H55" s="145">
        <f t="shared" si="43"/>
        <v>2</v>
      </c>
      <c r="I55" s="146">
        <f t="shared" si="44"/>
        <v>1.1970301012471782</v>
      </c>
      <c r="J55" s="147"/>
      <c r="K55" s="145">
        <f t="shared" si="45"/>
        <v>0</v>
      </c>
      <c r="L55" s="145">
        <f t="shared" si="46"/>
        <v>6</v>
      </c>
      <c r="M55" s="145">
        <f t="shared" si="47"/>
        <v>3.12</v>
      </c>
      <c r="N55" s="145">
        <f t="shared" si="48"/>
        <v>1.867366957945598</v>
      </c>
      <c r="O55" s="145">
        <f t="shared" si="49"/>
        <v>0</v>
      </c>
      <c r="P55" s="145">
        <f t="shared" si="50"/>
        <v>18.788120404988714</v>
      </c>
      <c r="Q55" s="147">
        <f t="shared" si="51"/>
        <v>23.775487362934314</v>
      </c>
      <c r="R55" s="147"/>
      <c r="S55" s="128">
        <f t="shared" si="52"/>
        <v>0.008123909892764796</v>
      </c>
      <c r="T55" s="128">
        <f t="shared" si="53"/>
        <v>0.04608400887839309</v>
      </c>
      <c r="U55" s="145">
        <f t="shared" si="54"/>
        <v>0</v>
      </c>
      <c r="V55" s="145">
        <f t="shared" si="55"/>
        <v>0</v>
      </c>
      <c r="W55" s="128">
        <f t="shared" si="15"/>
        <v>0</v>
      </c>
    </row>
    <row r="56" spans="1:23" ht="12.75">
      <c r="A56" s="141">
        <f>+'SMAW-SMAW'!A56</f>
        <v>39</v>
      </c>
      <c r="B56" s="142">
        <v>1.25</v>
      </c>
      <c r="C56" s="143">
        <v>42.65</v>
      </c>
      <c r="D56" s="143">
        <v>4.85</v>
      </c>
      <c r="E56" s="144" t="s">
        <v>88</v>
      </c>
      <c r="F56" s="145">
        <f t="shared" si="0"/>
        <v>2</v>
      </c>
      <c r="G56" s="145">
        <f t="shared" si="16"/>
        <v>2</v>
      </c>
      <c r="H56" s="145">
        <f t="shared" si="43"/>
        <v>2</v>
      </c>
      <c r="I56" s="146">
        <f t="shared" si="44"/>
        <v>2.1868819157400368</v>
      </c>
      <c r="J56" s="147"/>
      <c r="K56" s="145">
        <f t="shared" si="45"/>
        <v>0</v>
      </c>
      <c r="L56" s="145">
        <f t="shared" si="46"/>
        <v>6</v>
      </c>
      <c r="M56" s="145">
        <f t="shared" si="47"/>
        <v>5.699999999999999</v>
      </c>
      <c r="N56" s="145">
        <f t="shared" si="48"/>
        <v>6.232613459859104</v>
      </c>
      <c r="O56" s="145">
        <f t="shared" si="49"/>
        <v>0</v>
      </c>
      <c r="P56" s="145">
        <f t="shared" si="50"/>
        <v>22.747527662960145</v>
      </c>
      <c r="Q56" s="147">
        <f t="shared" si="51"/>
        <v>34.68014112281925</v>
      </c>
      <c r="R56" s="147"/>
      <c r="S56" s="128">
        <f t="shared" si="52"/>
        <v>0.0075936875926551775</v>
      </c>
      <c r="T56" s="128">
        <f t="shared" si="53"/>
        <v>0.06615963409788947</v>
      </c>
      <c r="U56" s="145">
        <f t="shared" si="54"/>
        <v>0</v>
      </c>
      <c r="V56" s="145">
        <f t="shared" si="55"/>
        <v>0</v>
      </c>
      <c r="W56" s="128">
        <f t="shared" si="15"/>
        <v>0</v>
      </c>
    </row>
    <row r="57" spans="1:23" ht="12.75">
      <c r="A57" s="141">
        <f>+'SMAW-SMAW'!A57</f>
        <v>40</v>
      </c>
      <c r="B57" s="142">
        <v>1.25</v>
      </c>
      <c r="C57" s="143">
        <v>42.65</v>
      </c>
      <c r="D57" s="143">
        <v>4.85</v>
      </c>
      <c r="E57" s="144" t="s">
        <v>82</v>
      </c>
      <c r="F57" s="145">
        <f t="shared" si="0"/>
        <v>2</v>
      </c>
      <c r="G57" s="145">
        <f t="shared" si="16"/>
        <v>2</v>
      </c>
      <c r="H57" s="145">
        <f t="shared" si="43"/>
        <v>2</v>
      </c>
      <c r="I57" s="146">
        <f t="shared" si="44"/>
        <v>2.1868819157400368</v>
      </c>
      <c r="J57" s="147"/>
      <c r="K57" s="145">
        <f t="shared" si="45"/>
        <v>0</v>
      </c>
      <c r="L57" s="145">
        <f t="shared" si="46"/>
        <v>6</v>
      </c>
      <c r="M57" s="145">
        <f t="shared" si="47"/>
        <v>5.699999999999999</v>
      </c>
      <c r="N57" s="145">
        <f t="shared" si="48"/>
        <v>6.232613459859104</v>
      </c>
      <c r="O57" s="145">
        <f t="shared" si="49"/>
        <v>0</v>
      </c>
      <c r="P57" s="145">
        <f t="shared" si="50"/>
        <v>22.747527662960145</v>
      </c>
      <c r="Q57" s="147">
        <f t="shared" si="51"/>
        <v>34.68014112281925</v>
      </c>
      <c r="R57" s="147"/>
      <c r="S57" s="128">
        <f t="shared" si="52"/>
        <v>0.0075936875926551775</v>
      </c>
      <c r="T57" s="128">
        <f t="shared" si="53"/>
        <v>0.06615963409788947</v>
      </c>
      <c r="U57" s="145">
        <f t="shared" si="54"/>
        <v>0</v>
      </c>
      <c r="V57" s="145">
        <f t="shared" si="55"/>
        <v>0</v>
      </c>
      <c r="W57" s="128">
        <f t="shared" si="15"/>
        <v>0</v>
      </c>
    </row>
    <row r="58" spans="1:23" ht="12.75">
      <c r="A58" s="141">
        <f>+'SMAW-SMAW'!A58</f>
        <v>41</v>
      </c>
      <c r="B58" s="142">
        <v>1.25</v>
      </c>
      <c r="C58" s="143">
        <v>42.65</v>
      </c>
      <c r="D58" s="143">
        <v>4.85</v>
      </c>
      <c r="E58" s="144" t="s">
        <v>89</v>
      </c>
      <c r="F58" s="145">
        <f t="shared" si="0"/>
        <v>2</v>
      </c>
      <c r="G58" s="145">
        <f t="shared" si="16"/>
        <v>2</v>
      </c>
      <c r="H58" s="145">
        <f t="shared" si="43"/>
        <v>2</v>
      </c>
      <c r="I58" s="146">
        <f t="shared" si="44"/>
        <v>2.1868819157400368</v>
      </c>
      <c r="J58" s="147"/>
      <c r="K58" s="145">
        <f t="shared" si="45"/>
        <v>0</v>
      </c>
      <c r="L58" s="145">
        <f t="shared" si="46"/>
        <v>6</v>
      </c>
      <c r="M58" s="145">
        <f t="shared" si="47"/>
        <v>5.699999999999999</v>
      </c>
      <c r="N58" s="145">
        <f t="shared" si="48"/>
        <v>6.232613459859104</v>
      </c>
      <c r="O58" s="145">
        <f t="shared" si="49"/>
        <v>0</v>
      </c>
      <c r="P58" s="145">
        <f t="shared" si="50"/>
        <v>22.747527662960145</v>
      </c>
      <c r="Q58" s="147">
        <f t="shared" si="51"/>
        <v>34.68014112281925</v>
      </c>
      <c r="R58" s="147"/>
      <c r="S58" s="128">
        <f t="shared" si="52"/>
        <v>0.0075936875926551775</v>
      </c>
      <c r="T58" s="128">
        <f t="shared" si="53"/>
        <v>0.06615963409788947</v>
      </c>
      <c r="U58" s="145">
        <f t="shared" si="54"/>
        <v>0</v>
      </c>
      <c r="V58" s="145">
        <f t="shared" si="55"/>
        <v>0</v>
      </c>
      <c r="W58" s="128">
        <f t="shared" si="15"/>
        <v>0</v>
      </c>
    </row>
    <row r="59" spans="1:23" ht="12.75">
      <c r="A59" s="141">
        <f>+'SMAW-SMAW'!A59</f>
        <v>42</v>
      </c>
      <c r="B59" s="142">
        <v>1.25</v>
      </c>
      <c r="C59" s="143">
        <v>42.65</v>
      </c>
      <c r="D59" s="143">
        <v>6.35</v>
      </c>
      <c r="E59" s="144" t="s">
        <v>90</v>
      </c>
      <c r="F59" s="145">
        <f t="shared" si="0"/>
        <v>2</v>
      </c>
      <c r="G59" s="145">
        <f t="shared" si="16"/>
        <v>2</v>
      </c>
      <c r="H59" s="145">
        <f t="shared" si="43"/>
        <v>2</v>
      </c>
      <c r="I59" s="146">
        <f t="shared" si="44"/>
        <v>3.337872397708477</v>
      </c>
      <c r="J59" s="147"/>
      <c r="K59" s="145">
        <f t="shared" si="45"/>
        <v>0</v>
      </c>
      <c r="L59" s="145">
        <f t="shared" si="46"/>
        <v>6</v>
      </c>
      <c r="M59" s="145">
        <f t="shared" si="47"/>
        <v>8.7</v>
      </c>
      <c r="N59" s="145">
        <f t="shared" si="48"/>
        <v>14.519744930031875</v>
      </c>
      <c r="O59" s="145">
        <f t="shared" si="49"/>
        <v>0</v>
      </c>
      <c r="P59" s="145">
        <f t="shared" si="50"/>
        <v>27.351489590833907</v>
      </c>
      <c r="Q59" s="147">
        <f t="shared" si="51"/>
        <v>50.57123452086578</v>
      </c>
      <c r="R59" s="147"/>
      <c r="S59" s="128">
        <f t="shared" si="52"/>
        <v>0.006977150034388183</v>
      </c>
      <c r="T59" s="128">
        <f t="shared" si="53"/>
        <v>0.0946764314338783</v>
      </c>
      <c r="U59" s="145">
        <f t="shared" si="54"/>
        <v>0</v>
      </c>
      <c r="V59" s="145">
        <f t="shared" si="55"/>
        <v>0</v>
      </c>
      <c r="W59" s="128">
        <f t="shared" si="15"/>
        <v>0</v>
      </c>
    </row>
    <row r="60" spans="1:23" ht="12.75">
      <c r="A60" s="141">
        <f>+'SMAW-SMAW'!A60</f>
        <v>43</v>
      </c>
      <c r="B60" s="142">
        <v>1.25</v>
      </c>
      <c r="C60" s="143">
        <v>42.65</v>
      </c>
      <c r="D60" s="143">
        <v>9.701</v>
      </c>
      <c r="E60" s="144" t="s">
        <v>83</v>
      </c>
      <c r="F60" s="145">
        <f t="shared" si="0"/>
        <v>2</v>
      </c>
      <c r="G60" s="145">
        <f t="shared" si="16"/>
        <v>2</v>
      </c>
      <c r="H60" s="145">
        <f t="shared" si="43"/>
        <v>2</v>
      </c>
      <c r="I60" s="146">
        <f t="shared" si="44"/>
        <v>5.909185134425974</v>
      </c>
      <c r="J60" s="147"/>
      <c r="K60" s="145">
        <f t="shared" si="45"/>
        <v>0</v>
      </c>
      <c r="L60" s="145">
        <f t="shared" si="46"/>
        <v>6</v>
      </c>
      <c r="M60" s="145">
        <f t="shared" si="47"/>
        <v>15.402000000000001</v>
      </c>
      <c r="N60" s="145">
        <f t="shared" si="48"/>
        <v>45.50663472021443</v>
      </c>
      <c r="O60" s="145">
        <f t="shared" si="49"/>
        <v>0</v>
      </c>
      <c r="P60" s="145">
        <f t="shared" si="50"/>
        <v>37.6367405377039</v>
      </c>
      <c r="Q60" s="147">
        <f t="shared" si="51"/>
        <v>98.54537525791832</v>
      </c>
      <c r="R60" s="147"/>
      <c r="S60" s="128">
        <f t="shared" si="52"/>
        <v>0.00559980512921971</v>
      </c>
      <c r="T60" s="128">
        <f t="shared" si="53"/>
        <v>0.17666010677310054</v>
      </c>
      <c r="U60" s="145">
        <f t="shared" si="54"/>
        <v>0</v>
      </c>
      <c r="V60" s="145">
        <f t="shared" si="55"/>
        <v>0</v>
      </c>
      <c r="W60" s="128">
        <f t="shared" si="15"/>
        <v>0</v>
      </c>
    </row>
    <row r="61" spans="1:23" ht="12.75">
      <c r="A61" s="141">
        <f>+'SMAW-SMAW'!A61</f>
        <v>44</v>
      </c>
      <c r="B61" s="142"/>
      <c r="C61" s="143"/>
      <c r="D61" s="143"/>
      <c r="E61" s="144"/>
      <c r="F61" s="145"/>
      <c r="G61" s="145"/>
      <c r="H61" s="145"/>
      <c r="I61" s="146"/>
      <c r="J61" s="147"/>
      <c r="K61" s="145"/>
      <c r="L61" s="145"/>
      <c r="M61" s="145"/>
      <c r="N61" s="145"/>
      <c r="O61" s="145"/>
      <c r="P61" s="145"/>
      <c r="Q61" s="147"/>
      <c r="R61" s="147"/>
      <c r="S61" s="128"/>
      <c r="T61" s="128"/>
      <c r="U61" s="145"/>
      <c r="V61" s="145"/>
      <c r="W61" s="128">
        <f t="shared" si="15"/>
        <v>0</v>
      </c>
    </row>
    <row r="62" spans="1:23" ht="12.75">
      <c r="A62" s="141">
        <f>+'SMAW-SMAW'!A62</f>
        <v>45</v>
      </c>
      <c r="B62" s="142">
        <v>1.5</v>
      </c>
      <c r="C62" s="143">
        <v>48.3</v>
      </c>
      <c r="D62" s="143">
        <v>1.65</v>
      </c>
      <c r="E62" s="144" t="s">
        <v>81</v>
      </c>
      <c r="F62" s="145">
        <f t="shared" si="0"/>
        <v>2</v>
      </c>
      <c r="G62" s="145">
        <f t="shared" si="16"/>
        <v>1.65</v>
      </c>
      <c r="H62" s="145">
        <f>IF(D62&lt;=19,2,3)</f>
        <v>2</v>
      </c>
      <c r="I62" s="146">
        <f>IF(D62&lt;=19,(D62-G62)*TAN($C$8*PI()/180),(19-G62)*TAN($C$8*PI()/180))</f>
        <v>0</v>
      </c>
      <c r="J62" s="147"/>
      <c r="K62" s="145">
        <f>IF(D62&lt;=19,0,(D62-19)*TAN($C$10*PI()/180))</f>
        <v>0</v>
      </c>
      <c r="L62" s="145">
        <f>+F62*(G62*1.5)</f>
        <v>4.949999999999999</v>
      </c>
      <c r="M62" s="145">
        <f>+F62*(D62-G62)</f>
        <v>0</v>
      </c>
      <c r="N62" s="145">
        <f>IF(D62&lt;=19,(D62-G62)*I62,(19-G62)*I62)</f>
        <v>0</v>
      </c>
      <c r="O62" s="145">
        <f>IF(D62&lt;=19,0,(I62*(D62-19)*2)+((K62)*(D62-19)))</f>
        <v>0</v>
      </c>
      <c r="P62" s="145">
        <f>+(5+F62+(2*(I62+K62)))*H62</f>
        <v>14</v>
      </c>
      <c r="Q62" s="147">
        <f>SUM(M62:P62)</f>
        <v>14</v>
      </c>
      <c r="R62" s="147"/>
      <c r="S62" s="128">
        <f>IF(D$6=1,(PI()*(C62-(2*D62)+(2*G62))*L62*0.1*0.01*7.85*0.001/(S$16*S$17)),0)</f>
        <v>0.008189160117681386</v>
      </c>
      <c r="T62" s="128">
        <f>IF(D$6=1,(PI()*(C62-(0.5*D62))*(Q62)*0.1*0.01*7.85*0.001/(T$16*T$17)),0)</f>
        <v>0.03152166831555072</v>
      </c>
      <c r="U62" s="145">
        <f>IF(D$6=1,0,(PI()*(C62-(2*D62)+(2*G62))*L62*0.1*0.01*7.85*0.001/(U$16*U$17)))</f>
        <v>0</v>
      </c>
      <c r="V62" s="145">
        <f>IF(D$6=1,0,(PI()*(C62-(0.5*D62))*(Q62)*0.1*0.01*7.85*0.001/(V$16*V$17)))</f>
        <v>0</v>
      </c>
      <c r="W62" s="128">
        <f t="shared" si="15"/>
        <v>0</v>
      </c>
    </row>
    <row r="63" spans="1:23" ht="12.75">
      <c r="A63" s="141">
        <f>+'SMAW-SMAW'!A63</f>
        <v>46</v>
      </c>
      <c r="B63" s="142">
        <v>1.5</v>
      </c>
      <c r="C63" s="143">
        <v>48.3</v>
      </c>
      <c r="D63" s="143">
        <v>2.77</v>
      </c>
      <c r="E63" s="144" t="s">
        <v>84</v>
      </c>
      <c r="F63" s="145">
        <f t="shared" si="0"/>
        <v>2</v>
      </c>
      <c r="G63" s="145">
        <f t="shared" si="16"/>
        <v>2</v>
      </c>
      <c r="H63" s="145">
        <f aca="true" t="shared" si="56" ref="H63:H71">IF(D63&lt;=19,2,3)</f>
        <v>2</v>
      </c>
      <c r="I63" s="146">
        <f aca="true" t="shared" si="57" ref="I63:I71">IF(D63&lt;=19,(D63-G63)*TAN($C$8*PI()/180),(19-G63)*TAN($C$8*PI()/180))</f>
        <v>0.5908417807437994</v>
      </c>
      <c r="J63" s="147"/>
      <c r="K63" s="145">
        <f aca="true" t="shared" si="58" ref="K63:K71">IF(D63&lt;=19,0,(D63-19)*TAN($C$10*PI()/180))</f>
        <v>0</v>
      </c>
      <c r="L63" s="145">
        <f aca="true" t="shared" si="59" ref="L63:L71">+F63*(G63*1.5)</f>
        <v>6</v>
      </c>
      <c r="M63" s="145">
        <f aca="true" t="shared" si="60" ref="M63:M71">+F63*(D63-G63)</f>
        <v>1.54</v>
      </c>
      <c r="N63" s="145">
        <f aca="true" t="shared" si="61" ref="N63:N71">IF(D63&lt;=19,(D63-G63)*I63,(19-G63)*I63)</f>
        <v>0.45494817117272557</v>
      </c>
      <c r="O63" s="145">
        <f aca="true" t="shared" si="62" ref="O63:O71">IF(D63&lt;=19,0,(I63*(D63-19)*2)+((K63)*(D63-19)))</f>
        <v>0</v>
      </c>
      <c r="P63" s="145">
        <f aca="true" t="shared" si="63" ref="P63:P71">+(5+F63+(2*(I63+K63)))*H63</f>
        <v>16.3633671229752</v>
      </c>
      <c r="Q63" s="147">
        <f aca="true" t="shared" si="64" ref="Q63:Q71">SUM(M63:P63)</f>
        <v>18.358315294147925</v>
      </c>
      <c r="R63" s="147"/>
      <c r="S63" s="128">
        <f aca="true" t="shared" si="65" ref="S63:S71">IF(D$6=1,(PI()*(C63-(2*D63)+(2*G63))*L63*0.1*0.01*7.85*0.001/(S$16*S$17)),0)</f>
        <v>0.009609765408188257</v>
      </c>
      <c r="T63" s="128">
        <f aca="true" t="shared" si="66" ref="T63:T71">IF(D$6=1,(PI()*(C63-(0.5*D63))*(Q63)*0.1*0.01*7.85*0.001/(T$16*T$17)),0)</f>
        <v>0.04084705318355213</v>
      </c>
      <c r="U63" s="145">
        <f aca="true" t="shared" si="67" ref="U63:U71">IF(D$6=1,0,(PI()*(C63-(2*D63)+(2*G63))*L63*0.1*0.01*7.85*0.001/(U$16*U$17)))</f>
        <v>0</v>
      </c>
      <c r="V63" s="145">
        <f aca="true" t="shared" si="68" ref="V63:V71">IF(D$6=1,0,(PI()*(C63-(0.5*D63))*(Q63)*0.1*0.01*7.85*0.001/(V$16*V$17)))</f>
        <v>0</v>
      </c>
      <c r="W63" s="128">
        <f t="shared" si="15"/>
        <v>0</v>
      </c>
    </row>
    <row r="64" spans="1:23" ht="12.75">
      <c r="A64" s="141">
        <f>+'SMAW-SMAW'!A64</f>
        <v>47</v>
      </c>
      <c r="B64" s="142">
        <v>1.5</v>
      </c>
      <c r="C64" s="143">
        <v>48.3</v>
      </c>
      <c r="D64" s="143">
        <v>3.68</v>
      </c>
      <c r="E64" s="144" t="s">
        <v>85</v>
      </c>
      <c r="F64" s="145">
        <f t="shared" si="0"/>
        <v>2</v>
      </c>
      <c r="G64" s="145">
        <f t="shared" si="16"/>
        <v>2</v>
      </c>
      <c r="H64" s="145">
        <f t="shared" si="56"/>
        <v>2</v>
      </c>
      <c r="I64" s="146">
        <f t="shared" si="57"/>
        <v>1.2891093398046536</v>
      </c>
      <c r="J64" s="147"/>
      <c r="K64" s="145">
        <f t="shared" si="58"/>
        <v>0</v>
      </c>
      <c r="L64" s="145">
        <f t="shared" si="59"/>
        <v>6</v>
      </c>
      <c r="M64" s="145">
        <f t="shared" si="60"/>
        <v>3.3600000000000003</v>
      </c>
      <c r="N64" s="145">
        <f t="shared" si="61"/>
        <v>2.165703690871818</v>
      </c>
      <c r="O64" s="145">
        <f t="shared" si="62"/>
        <v>0</v>
      </c>
      <c r="P64" s="145">
        <f t="shared" si="63"/>
        <v>19.156437359218614</v>
      </c>
      <c r="Q64" s="147">
        <f t="shared" si="64"/>
        <v>24.682141050090433</v>
      </c>
      <c r="R64" s="147"/>
      <c r="S64" s="128">
        <f t="shared" si="65"/>
        <v>0.009235732622839613</v>
      </c>
      <c r="T64" s="128">
        <f t="shared" si="66"/>
        <v>0.05438488582283078</v>
      </c>
      <c r="U64" s="145">
        <f t="shared" si="67"/>
        <v>0</v>
      </c>
      <c r="V64" s="145">
        <f t="shared" si="68"/>
        <v>0</v>
      </c>
      <c r="W64" s="128">
        <f t="shared" si="15"/>
        <v>0</v>
      </c>
    </row>
    <row r="65" spans="1:23" ht="12.75">
      <c r="A65" s="141">
        <f>+'SMAW-SMAW'!A65</f>
        <v>48</v>
      </c>
      <c r="B65" s="142">
        <v>1.5</v>
      </c>
      <c r="C65" s="143">
        <v>48.3</v>
      </c>
      <c r="D65" s="143">
        <v>3.68</v>
      </c>
      <c r="E65" s="144" t="s">
        <v>86</v>
      </c>
      <c r="F65" s="145">
        <f t="shared" si="0"/>
        <v>2</v>
      </c>
      <c r="G65" s="145">
        <f t="shared" si="16"/>
        <v>2</v>
      </c>
      <c r="H65" s="145">
        <f t="shared" si="56"/>
        <v>2</v>
      </c>
      <c r="I65" s="146">
        <f t="shared" si="57"/>
        <v>1.2891093398046536</v>
      </c>
      <c r="J65" s="147"/>
      <c r="K65" s="145">
        <f t="shared" si="58"/>
        <v>0</v>
      </c>
      <c r="L65" s="145">
        <f t="shared" si="59"/>
        <v>6</v>
      </c>
      <c r="M65" s="145">
        <f t="shared" si="60"/>
        <v>3.3600000000000003</v>
      </c>
      <c r="N65" s="145">
        <f t="shared" si="61"/>
        <v>2.165703690871818</v>
      </c>
      <c r="O65" s="145">
        <f t="shared" si="62"/>
        <v>0</v>
      </c>
      <c r="P65" s="145">
        <f t="shared" si="63"/>
        <v>19.156437359218614</v>
      </c>
      <c r="Q65" s="147">
        <f t="shared" si="64"/>
        <v>24.682141050090433</v>
      </c>
      <c r="R65" s="147"/>
      <c r="S65" s="128">
        <f t="shared" si="65"/>
        <v>0.009235732622839613</v>
      </c>
      <c r="T65" s="128">
        <f t="shared" si="66"/>
        <v>0.05438488582283078</v>
      </c>
      <c r="U65" s="145">
        <f t="shared" si="67"/>
        <v>0</v>
      </c>
      <c r="V65" s="145">
        <f t="shared" si="68"/>
        <v>0</v>
      </c>
      <c r="W65" s="128">
        <f t="shared" si="15"/>
        <v>0</v>
      </c>
    </row>
    <row r="66" spans="1:23" ht="12.75">
      <c r="A66" s="141">
        <f>+'SMAW-SMAW'!A66</f>
        <v>49</v>
      </c>
      <c r="B66" s="142">
        <v>1.5</v>
      </c>
      <c r="C66" s="143">
        <v>48.3</v>
      </c>
      <c r="D66" s="143">
        <v>3.68</v>
      </c>
      <c r="E66" s="144" t="s">
        <v>87</v>
      </c>
      <c r="F66" s="145">
        <f t="shared" si="0"/>
        <v>2</v>
      </c>
      <c r="G66" s="145">
        <f t="shared" si="16"/>
        <v>2</v>
      </c>
      <c r="H66" s="145">
        <f t="shared" si="56"/>
        <v>2</v>
      </c>
      <c r="I66" s="146">
        <f t="shared" si="57"/>
        <v>1.2891093398046536</v>
      </c>
      <c r="J66" s="147"/>
      <c r="K66" s="145">
        <f t="shared" si="58"/>
        <v>0</v>
      </c>
      <c r="L66" s="145">
        <f t="shared" si="59"/>
        <v>6</v>
      </c>
      <c r="M66" s="145">
        <f t="shared" si="60"/>
        <v>3.3600000000000003</v>
      </c>
      <c r="N66" s="145">
        <f t="shared" si="61"/>
        <v>2.165703690871818</v>
      </c>
      <c r="O66" s="145">
        <f t="shared" si="62"/>
        <v>0</v>
      </c>
      <c r="P66" s="145">
        <f t="shared" si="63"/>
        <v>19.156437359218614</v>
      </c>
      <c r="Q66" s="147">
        <f t="shared" si="64"/>
        <v>24.682141050090433</v>
      </c>
      <c r="R66" s="147"/>
      <c r="S66" s="128">
        <f t="shared" si="65"/>
        <v>0.009235732622839613</v>
      </c>
      <c r="T66" s="128">
        <f t="shared" si="66"/>
        <v>0.05438488582283078</v>
      </c>
      <c r="U66" s="145">
        <f t="shared" si="67"/>
        <v>0</v>
      </c>
      <c r="V66" s="145">
        <f t="shared" si="68"/>
        <v>0</v>
      </c>
      <c r="W66" s="128">
        <f t="shared" si="15"/>
        <v>0</v>
      </c>
    </row>
    <row r="67" spans="1:23" ht="12.75">
      <c r="A67" s="141">
        <f>+'SMAW-SMAW'!A67</f>
        <v>50</v>
      </c>
      <c r="B67" s="142">
        <v>1.5</v>
      </c>
      <c r="C67" s="143">
        <v>48.3</v>
      </c>
      <c r="D67" s="143">
        <v>5.08</v>
      </c>
      <c r="E67" s="144" t="s">
        <v>88</v>
      </c>
      <c r="F67" s="145">
        <f t="shared" si="0"/>
        <v>2</v>
      </c>
      <c r="G67" s="145">
        <f t="shared" si="16"/>
        <v>2</v>
      </c>
      <c r="H67" s="145">
        <f t="shared" si="56"/>
        <v>2</v>
      </c>
      <c r="I67" s="146">
        <f t="shared" si="57"/>
        <v>2.363367122975198</v>
      </c>
      <c r="J67" s="147"/>
      <c r="K67" s="145">
        <f t="shared" si="58"/>
        <v>0</v>
      </c>
      <c r="L67" s="145">
        <f t="shared" si="59"/>
        <v>6</v>
      </c>
      <c r="M67" s="145">
        <f t="shared" si="60"/>
        <v>6.16</v>
      </c>
      <c r="N67" s="145">
        <f t="shared" si="61"/>
        <v>7.279170738763609</v>
      </c>
      <c r="O67" s="145">
        <f t="shared" si="62"/>
        <v>0</v>
      </c>
      <c r="P67" s="145">
        <f t="shared" si="63"/>
        <v>23.453468491900793</v>
      </c>
      <c r="Q67" s="147">
        <f t="shared" si="64"/>
        <v>36.8926392306644</v>
      </c>
      <c r="R67" s="147"/>
      <c r="S67" s="128">
        <f t="shared" si="65"/>
        <v>0.008660297568457083</v>
      </c>
      <c r="T67" s="128">
        <f t="shared" si="66"/>
        <v>0.08006485593673263</v>
      </c>
      <c r="U67" s="145">
        <f t="shared" si="67"/>
        <v>0</v>
      </c>
      <c r="V67" s="145">
        <f t="shared" si="68"/>
        <v>0</v>
      </c>
      <c r="W67" s="128">
        <f t="shared" si="15"/>
        <v>0</v>
      </c>
    </row>
    <row r="68" spans="1:23" ht="12.75">
      <c r="A68" s="141">
        <f>+'SMAW-SMAW'!A68</f>
        <v>51</v>
      </c>
      <c r="B68" s="142">
        <v>1.5</v>
      </c>
      <c r="C68" s="143">
        <v>48.3</v>
      </c>
      <c r="D68" s="143">
        <v>5.08</v>
      </c>
      <c r="E68" s="144" t="s">
        <v>82</v>
      </c>
      <c r="F68" s="145">
        <f t="shared" si="0"/>
        <v>2</v>
      </c>
      <c r="G68" s="145">
        <f t="shared" si="16"/>
        <v>2</v>
      </c>
      <c r="H68" s="145">
        <f t="shared" si="56"/>
        <v>2</v>
      </c>
      <c r="I68" s="146">
        <f t="shared" si="57"/>
        <v>2.363367122975198</v>
      </c>
      <c r="J68" s="147"/>
      <c r="K68" s="145">
        <f t="shared" si="58"/>
        <v>0</v>
      </c>
      <c r="L68" s="145">
        <f t="shared" si="59"/>
        <v>6</v>
      </c>
      <c r="M68" s="145">
        <f t="shared" si="60"/>
        <v>6.16</v>
      </c>
      <c r="N68" s="145">
        <f t="shared" si="61"/>
        <v>7.279170738763609</v>
      </c>
      <c r="O68" s="145">
        <f t="shared" si="62"/>
        <v>0</v>
      </c>
      <c r="P68" s="145">
        <f t="shared" si="63"/>
        <v>23.453468491900793</v>
      </c>
      <c r="Q68" s="147">
        <f t="shared" si="64"/>
        <v>36.8926392306644</v>
      </c>
      <c r="R68" s="147"/>
      <c r="S68" s="128">
        <f t="shared" si="65"/>
        <v>0.008660297568457083</v>
      </c>
      <c r="T68" s="128">
        <f t="shared" si="66"/>
        <v>0.08006485593673263</v>
      </c>
      <c r="U68" s="145">
        <f t="shared" si="67"/>
        <v>0</v>
      </c>
      <c r="V68" s="145">
        <f t="shared" si="68"/>
        <v>0</v>
      </c>
      <c r="W68" s="128">
        <f t="shared" si="15"/>
        <v>0</v>
      </c>
    </row>
    <row r="69" spans="1:23" ht="12.75">
      <c r="A69" s="141">
        <f>+'SMAW-SMAW'!A69</f>
        <v>52</v>
      </c>
      <c r="B69" s="142">
        <v>1.5</v>
      </c>
      <c r="C69" s="143">
        <v>48.3</v>
      </c>
      <c r="D69" s="143">
        <v>5.08</v>
      </c>
      <c r="E69" s="144" t="s">
        <v>89</v>
      </c>
      <c r="F69" s="145">
        <f t="shared" si="0"/>
        <v>2</v>
      </c>
      <c r="G69" s="145">
        <f t="shared" si="16"/>
        <v>2</v>
      </c>
      <c r="H69" s="145">
        <f t="shared" si="56"/>
        <v>2</v>
      </c>
      <c r="I69" s="146">
        <f t="shared" si="57"/>
        <v>2.363367122975198</v>
      </c>
      <c r="J69" s="147"/>
      <c r="K69" s="145">
        <f t="shared" si="58"/>
        <v>0</v>
      </c>
      <c r="L69" s="145">
        <f t="shared" si="59"/>
        <v>6</v>
      </c>
      <c r="M69" s="145">
        <f t="shared" si="60"/>
        <v>6.16</v>
      </c>
      <c r="N69" s="145">
        <f t="shared" si="61"/>
        <v>7.279170738763609</v>
      </c>
      <c r="O69" s="145">
        <f t="shared" si="62"/>
        <v>0</v>
      </c>
      <c r="P69" s="145">
        <f t="shared" si="63"/>
        <v>23.453468491900793</v>
      </c>
      <c r="Q69" s="147">
        <f t="shared" si="64"/>
        <v>36.8926392306644</v>
      </c>
      <c r="R69" s="147"/>
      <c r="S69" s="128">
        <f t="shared" si="65"/>
        <v>0.008660297568457083</v>
      </c>
      <c r="T69" s="128">
        <f t="shared" si="66"/>
        <v>0.08006485593673263</v>
      </c>
      <c r="U69" s="145">
        <f t="shared" si="67"/>
        <v>0</v>
      </c>
      <c r="V69" s="145">
        <f t="shared" si="68"/>
        <v>0</v>
      </c>
      <c r="W69" s="128">
        <f t="shared" si="15"/>
        <v>0</v>
      </c>
    </row>
    <row r="70" spans="1:23" ht="12.75">
      <c r="A70" s="141">
        <f>+'SMAW-SMAW'!A70</f>
        <v>53</v>
      </c>
      <c r="B70" s="142">
        <v>1.5</v>
      </c>
      <c r="C70" s="143">
        <v>48.3</v>
      </c>
      <c r="D70" s="143">
        <v>7.14</v>
      </c>
      <c r="E70" s="144" t="s">
        <v>90</v>
      </c>
      <c r="F70" s="145">
        <f t="shared" si="0"/>
        <v>2</v>
      </c>
      <c r="G70" s="145">
        <f aca="true" t="shared" si="69" ref="G70:G107">IF(D70&lt;2,D70,2)</f>
        <v>2</v>
      </c>
      <c r="H70" s="145">
        <f t="shared" si="56"/>
        <v>2</v>
      </c>
      <c r="I70" s="146">
        <f t="shared" si="57"/>
        <v>3.944060718211856</v>
      </c>
      <c r="J70" s="147"/>
      <c r="K70" s="145">
        <f t="shared" si="58"/>
        <v>0</v>
      </c>
      <c r="L70" s="145">
        <f t="shared" si="59"/>
        <v>6</v>
      </c>
      <c r="M70" s="145">
        <f t="shared" si="60"/>
        <v>10.28</v>
      </c>
      <c r="N70" s="145">
        <f t="shared" si="61"/>
        <v>20.27247209160894</v>
      </c>
      <c r="O70" s="145">
        <f t="shared" si="62"/>
        <v>0</v>
      </c>
      <c r="P70" s="145">
        <f t="shared" si="63"/>
        <v>29.776242872847426</v>
      </c>
      <c r="Q70" s="147">
        <f t="shared" si="64"/>
        <v>60.32871496445637</v>
      </c>
      <c r="R70" s="147"/>
      <c r="S70" s="128">
        <f t="shared" si="65"/>
        <v>0.007813585988437073</v>
      </c>
      <c r="T70" s="128">
        <f t="shared" si="66"/>
        <v>0.12797913152030588</v>
      </c>
      <c r="U70" s="145">
        <f t="shared" si="67"/>
        <v>0</v>
      </c>
      <c r="V70" s="145">
        <f t="shared" si="68"/>
        <v>0</v>
      </c>
      <c r="W70" s="128">
        <f t="shared" si="15"/>
        <v>0</v>
      </c>
    </row>
    <row r="71" spans="1:23" ht="12.75">
      <c r="A71" s="141">
        <f>+'SMAW-SMAW'!A71</f>
        <v>54</v>
      </c>
      <c r="B71" s="142">
        <v>1.5</v>
      </c>
      <c r="C71" s="143">
        <v>48.3</v>
      </c>
      <c r="D71" s="143">
        <v>10.161</v>
      </c>
      <c r="E71" s="144" t="s">
        <v>83</v>
      </c>
      <c r="F71" s="145">
        <f t="shared" si="0"/>
        <v>2</v>
      </c>
      <c r="G71" s="145">
        <f t="shared" si="69"/>
        <v>2</v>
      </c>
      <c r="H71" s="145">
        <f t="shared" si="56"/>
        <v>2</v>
      </c>
      <c r="I71" s="146">
        <f t="shared" si="57"/>
        <v>6.262155548896295</v>
      </c>
      <c r="J71" s="147"/>
      <c r="K71" s="145">
        <f t="shared" si="58"/>
        <v>0</v>
      </c>
      <c r="L71" s="145">
        <f t="shared" si="59"/>
        <v>6</v>
      </c>
      <c r="M71" s="145">
        <f t="shared" si="60"/>
        <v>16.322</v>
      </c>
      <c r="N71" s="145">
        <f t="shared" si="61"/>
        <v>51.105451434542665</v>
      </c>
      <c r="O71" s="145">
        <f t="shared" si="62"/>
        <v>0</v>
      </c>
      <c r="P71" s="145">
        <f t="shared" si="63"/>
        <v>39.04862219558518</v>
      </c>
      <c r="Q71" s="147">
        <f t="shared" si="64"/>
        <v>106.47607363012784</v>
      </c>
      <c r="R71" s="147"/>
      <c r="S71" s="128">
        <f t="shared" si="65"/>
        <v>0.00657187934608734</v>
      </c>
      <c r="T71" s="128">
        <f t="shared" si="66"/>
        <v>0.2182468338269303</v>
      </c>
      <c r="U71" s="145">
        <f t="shared" si="67"/>
        <v>0</v>
      </c>
      <c r="V71" s="145">
        <f t="shared" si="68"/>
        <v>0</v>
      </c>
      <c r="W71" s="128">
        <f t="shared" si="15"/>
        <v>0</v>
      </c>
    </row>
    <row r="72" spans="1:23" ht="12.75">
      <c r="A72" s="141">
        <f>+'SMAW-SMAW'!A72</f>
        <v>55</v>
      </c>
      <c r="B72" s="142"/>
      <c r="C72" s="143"/>
      <c r="D72" s="143"/>
      <c r="E72" s="144"/>
      <c r="F72" s="145"/>
      <c r="G72" s="145"/>
      <c r="H72" s="145"/>
      <c r="I72" s="146"/>
      <c r="J72" s="147"/>
      <c r="K72" s="145"/>
      <c r="L72" s="145"/>
      <c r="M72" s="145"/>
      <c r="N72" s="145"/>
      <c r="O72" s="145"/>
      <c r="P72" s="145"/>
      <c r="Q72" s="147"/>
      <c r="R72" s="147"/>
      <c r="S72" s="128"/>
      <c r="T72" s="128"/>
      <c r="U72" s="145"/>
      <c r="V72" s="145"/>
      <c r="W72" s="128">
        <f t="shared" si="15"/>
        <v>0</v>
      </c>
    </row>
    <row r="73" spans="1:23" ht="12.75">
      <c r="A73" s="141">
        <f>+'SMAW-SMAW'!A73</f>
        <v>56</v>
      </c>
      <c r="B73" s="142">
        <v>2</v>
      </c>
      <c r="C73" s="143">
        <v>60.3</v>
      </c>
      <c r="D73" s="143">
        <v>1.65</v>
      </c>
      <c r="E73" s="144" t="s">
        <v>81</v>
      </c>
      <c r="F73" s="145">
        <f t="shared" si="0"/>
        <v>2</v>
      </c>
      <c r="G73" s="145">
        <f t="shared" si="69"/>
        <v>1.65</v>
      </c>
      <c r="H73" s="145">
        <f>IF(D73&lt;=19,2,3)</f>
        <v>2</v>
      </c>
      <c r="I73" s="146">
        <f>IF(D73&lt;=19,(D73-G73)*TAN($C$8*PI()/180),(19-G73)*TAN($C$8*PI()/180))</f>
        <v>0</v>
      </c>
      <c r="J73" s="147"/>
      <c r="K73" s="145">
        <f>IF(D73&lt;=19,0,(D73-19)*TAN($C$10*PI()/180))</f>
        <v>0</v>
      </c>
      <c r="L73" s="145">
        <f>+F73*(G73*1.5)</f>
        <v>4.949999999999999</v>
      </c>
      <c r="M73" s="145">
        <f>+F73*(D73-G73)</f>
        <v>0</v>
      </c>
      <c r="N73" s="145">
        <f>IF(D73&lt;=19,(D73-G73)*I73,(19-G73)*I73)</f>
        <v>0</v>
      </c>
      <c r="O73" s="145">
        <f>IF(D73&lt;=19,0,(I73*(D73-19)*2)+((K73)*(D73-19)))</f>
        <v>0</v>
      </c>
      <c r="P73" s="145">
        <f>+(5+F73+(2*(I73+K73)))*H73</f>
        <v>14</v>
      </c>
      <c r="Q73" s="147">
        <f>SUM(M73:P73)</f>
        <v>14</v>
      </c>
      <c r="R73" s="147"/>
      <c r="S73" s="128">
        <f>IF(D$6=1,(PI()*(C73-(2*D73)+(2*G73))*L73*0.1*0.01*7.85*0.001/(S$16*S$17)),0)</f>
        <v>0.010223734059962472</v>
      </c>
      <c r="T73" s="128">
        <f>IF(D$6=1,(PI()*(C73-(0.5*D73))*(Q73)*0.1*0.01*7.85*0.001/(T$16*T$17)),0)</f>
        <v>0.03948923060700115</v>
      </c>
      <c r="U73" s="145">
        <f>IF(D$6=1,0,(PI()*(C73-(2*D73)+(2*G73))*L73*0.1*0.01*7.85*0.001/(U$16*U$17)))</f>
        <v>0</v>
      </c>
      <c r="V73" s="145">
        <f>IF(D$6=1,0,(PI()*(C73-(0.5*D73))*(Q73)*0.1*0.01*7.85*0.001/(V$16*V$17)))</f>
        <v>0</v>
      </c>
      <c r="W73" s="128">
        <f t="shared" si="15"/>
        <v>0</v>
      </c>
    </row>
    <row r="74" spans="1:23" ht="12.75">
      <c r="A74" s="141">
        <f>+'SMAW-SMAW'!A74</f>
        <v>57</v>
      </c>
      <c r="B74" s="142">
        <v>2</v>
      </c>
      <c r="C74" s="143">
        <v>60.3</v>
      </c>
      <c r="D74" s="143">
        <v>2.77</v>
      </c>
      <c r="E74" s="144" t="s">
        <v>84</v>
      </c>
      <c r="F74" s="145">
        <f t="shared" si="0"/>
        <v>2</v>
      </c>
      <c r="G74" s="145">
        <f t="shared" si="69"/>
        <v>2</v>
      </c>
      <c r="H74" s="145">
        <f aca="true" t="shared" si="70" ref="H74:H82">IF(D74&lt;=19,2,3)</f>
        <v>2</v>
      </c>
      <c r="I74" s="146">
        <f aca="true" t="shared" si="71" ref="I74:I82">IF(D74&lt;=19,(D74-G74)*TAN($C$8*PI()/180),(19-G74)*TAN($C$8*PI()/180))</f>
        <v>0.5908417807437994</v>
      </c>
      <c r="J74" s="147"/>
      <c r="K74" s="145">
        <f aca="true" t="shared" si="72" ref="K74:K82">IF(D74&lt;=19,0,(D74-19)*TAN($C$10*PI()/180))</f>
        <v>0</v>
      </c>
      <c r="L74" s="145">
        <f aca="true" t="shared" si="73" ref="L74:L82">+F74*(G74*1.5)</f>
        <v>6</v>
      </c>
      <c r="M74" s="145">
        <f aca="true" t="shared" si="74" ref="M74:M82">+F74*(D74-G74)</f>
        <v>1.54</v>
      </c>
      <c r="N74" s="145">
        <f aca="true" t="shared" si="75" ref="N74:N82">IF(D74&lt;=19,(D74-G74)*I74,(19-G74)*I74)</f>
        <v>0.45494817117272557</v>
      </c>
      <c r="O74" s="145">
        <f aca="true" t="shared" si="76" ref="O74:O82">IF(D74&lt;=19,0,(I74*(D74-19)*2)+((K74)*(D74-19)))</f>
        <v>0</v>
      </c>
      <c r="P74" s="145">
        <f aca="true" t="shared" si="77" ref="P74:P82">+(5+F74+(2*(I74+K74)))*H74</f>
        <v>16.3633671229752</v>
      </c>
      <c r="Q74" s="147">
        <f aca="true" t="shared" si="78" ref="Q74:Q82">SUM(M74:P74)</f>
        <v>18.358315294147925</v>
      </c>
      <c r="R74" s="147"/>
      <c r="S74" s="128">
        <f aca="true" t="shared" si="79" ref="S74:S82">IF(D$6=1,(PI()*(C74-(2*D74)+(2*G74))*L74*0.1*0.01*7.85*0.001/(S$16*S$17)),0)</f>
        <v>0.012075915641256244</v>
      </c>
      <c r="T74" s="128">
        <f aca="true" t="shared" si="80" ref="T74:T82">IF(D$6=1,(PI()*(C74-(0.5*D74))*(Q74)*0.1*0.01*7.85*0.001/(T$16*T$17)),0)</f>
        <v>0.05129498323156717</v>
      </c>
      <c r="U74" s="145">
        <f aca="true" t="shared" si="81" ref="U74:U82">IF(D$6=1,0,(PI()*(C74-(2*D74)+(2*G74))*L74*0.1*0.01*7.85*0.001/(U$16*U$17)))</f>
        <v>0</v>
      </c>
      <c r="V74" s="145">
        <f aca="true" t="shared" si="82" ref="V74:V82">IF(D$6=1,0,(PI()*(C74-(0.5*D74))*(Q74)*0.1*0.01*7.85*0.001/(V$16*V$17)))</f>
        <v>0</v>
      </c>
      <c r="W74" s="128">
        <f t="shared" si="15"/>
        <v>0</v>
      </c>
    </row>
    <row r="75" spans="1:23" ht="12.75">
      <c r="A75" s="141">
        <f>+'SMAW-SMAW'!A75</f>
        <v>58</v>
      </c>
      <c r="B75" s="142">
        <v>2</v>
      </c>
      <c r="C75" s="143">
        <v>60.3</v>
      </c>
      <c r="D75" s="143">
        <v>3.91</v>
      </c>
      <c r="E75" s="144" t="s">
        <v>85</v>
      </c>
      <c r="F75" s="145">
        <f t="shared" si="0"/>
        <v>2</v>
      </c>
      <c r="G75" s="145">
        <f t="shared" si="69"/>
        <v>2</v>
      </c>
      <c r="H75" s="145">
        <f t="shared" si="70"/>
        <v>2</v>
      </c>
      <c r="I75" s="146">
        <f t="shared" si="71"/>
        <v>1.4655945470398144</v>
      </c>
      <c r="J75" s="147"/>
      <c r="K75" s="145">
        <f t="shared" si="72"/>
        <v>0</v>
      </c>
      <c r="L75" s="145">
        <f t="shared" si="73"/>
        <v>6</v>
      </c>
      <c r="M75" s="145">
        <f t="shared" si="74"/>
        <v>3.8200000000000003</v>
      </c>
      <c r="N75" s="145">
        <f t="shared" si="75"/>
        <v>2.7992855848460456</v>
      </c>
      <c r="O75" s="145">
        <f t="shared" si="76"/>
        <v>0</v>
      </c>
      <c r="P75" s="145">
        <f t="shared" si="77"/>
        <v>19.86237818815926</v>
      </c>
      <c r="Q75" s="147">
        <f t="shared" si="78"/>
        <v>26.481663773005305</v>
      </c>
      <c r="R75" s="147"/>
      <c r="S75" s="128">
        <f t="shared" si="79"/>
        <v>0.011607347096973327</v>
      </c>
      <c r="T75" s="128">
        <f t="shared" si="80"/>
        <v>0.07327656408118205</v>
      </c>
      <c r="U75" s="145">
        <f t="shared" si="81"/>
        <v>0</v>
      </c>
      <c r="V75" s="145">
        <f t="shared" si="82"/>
        <v>0</v>
      </c>
      <c r="W75" s="128">
        <f t="shared" si="15"/>
        <v>0</v>
      </c>
    </row>
    <row r="76" spans="1:23" ht="12.75">
      <c r="A76" s="141">
        <f>+'SMAW-SMAW'!A76</f>
        <v>59</v>
      </c>
      <c r="B76" s="142">
        <v>2</v>
      </c>
      <c r="C76" s="143">
        <v>60.3</v>
      </c>
      <c r="D76" s="143">
        <v>3.91</v>
      </c>
      <c r="E76" s="144" t="s">
        <v>86</v>
      </c>
      <c r="F76" s="145">
        <f t="shared" si="0"/>
        <v>2</v>
      </c>
      <c r="G76" s="145">
        <f t="shared" si="69"/>
        <v>2</v>
      </c>
      <c r="H76" s="145">
        <f t="shared" si="70"/>
        <v>2</v>
      </c>
      <c r="I76" s="146">
        <f t="shared" si="71"/>
        <v>1.4655945470398144</v>
      </c>
      <c r="J76" s="147"/>
      <c r="K76" s="145">
        <f t="shared" si="72"/>
        <v>0</v>
      </c>
      <c r="L76" s="145">
        <f t="shared" si="73"/>
        <v>6</v>
      </c>
      <c r="M76" s="145">
        <f t="shared" si="74"/>
        <v>3.8200000000000003</v>
      </c>
      <c r="N76" s="145">
        <f t="shared" si="75"/>
        <v>2.7992855848460456</v>
      </c>
      <c r="O76" s="145">
        <f t="shared" si="76"/>
        <v>0</v>
      </c>
      <c r="P76" s="145">
        <f t="shared" si="77"/>
        <v>19.86237818815926</v>
      </c>
      <c r="Q76" s="147">
        <f t="shared" si="78"/>
        <v>26.481663773005305</v>
      </c>
      <c r="R76" s="147"/>
      <c r="S76" s="128">
        <f t="shared" si="79"/>
        <v>0.011607347096973327</v>
      </c>
      <c r="T76" s="128">
        <f t="shared" si="80"/>
        <v>0.07327656408118205</v>
      </c>
      <c r="U76" s="145">
        <f t="shared" si="81"/>
        <v>0</v>
      </c>
      <c r="V76" s="145">
        <f t="shared" si="82"/>
        <v>0</v>
      </c>
      <c r="W76" s="128">
        <f t="shared" si="15"/>
        <v>0</v>
      </c>
    </row>
    <row r="77" spans="1:23" ht="12.75">
      <c r="A77" s="141">
        <f>+'SMAW-SMAW'!A77</f>
        <v>60</v>
      </c>
      <c r="B77" s="142">
        <v>2</v>
      </c>
      <c r="C77" s="143">
        <v>60.3</v>
      </c>
      <c r="D77" s="143">
        <v>3.91</v>
      </c>
      <c r="E77" s="144" t="s">
        <v>87</v>
      </c>
      <c r="F77" s="145">
        <f t="shared" si="0"/>
        <v>2</v>
      </c>
      <c r="G77" s="145">
        <f t="shared" si="69"/>
        <v>2</v>
      </c>
      <c r="H77" s="145">
        <f t="shared" si="70"/>
        <v>2</v>
      </c>
      <c r="I77" s="146">
        <f t="shared" si="71"/>
        <v>1.4655945470398144</v>
      </c>
      <c r="J77" s="147"/>
      <c r="K77" s="145">
        <f t="shared" si="72"/>
        <v>0</v>
      </c>
      <c r="L77" s="145">
        <f t="shared" si="73"/>
        <v>6</v>
      </c>
      <c r="M77" s="145">
        <f t="shared" si="74"/>
        <v>3.8200000000000003</v>
      </c>
      <c r="N77" s="145">
        <f t="shared" si="75"/>
        <v>2.7992855848460456</v>
      </c>
      <c r="O77" s="145">
        <f t="shared" si="76"/>
        <v>0</v>
      </c>
      <c r="P77" s="145">
        <f t="shared" si="77"/>
        <v>19.86237818815926</v>
      </c>
      <c r="Q77" s="147">
        <f t="shared" si="78"/>
        <v>26.481663773005305</v>
      </c>
      <c r="R77" s="147"/>
      <c r="S77" s="128">
        <f t="shared" si="79"/>
        <v>0.011607347096973327</v>
      </c>
      <c r="T77" s="128">
        <f t="shared" si="80"/>
        <v>0.07327656408118205</v>
      </c>
      <c r="U77" s="145">
        <f t="shared" si="81"/>
        <v>0</v>
      </c>
      <c r="V77" s="145">
        <f t="shared" si="82"/>
        <v>0</v>
      </c>
      <c r="W77" s="128">
        <f t="shared" si="15"/>
        <v>0</v>
      </c>
    </row>
    <row r="78" spans="1:23" ht="12.75">
      <c r="A78" s="141">
        <f>+'SMAW-SMAW'!A78</f>
        <v>61</v>
      </c>
      <c r="B78" s="142">
        <v>2</v>
      </c>
      <c r="C78" s="143">
        <v>60.3</v>
      </c>
      <c r="D78" s="143">
        <v>5.54</v>
      </c>
      <c r="E78" s="144" t="s">
        <v>88</v>
      </c>
      <c r="F78" s="145">
        <f t="shared" si="0"/>
        <v>2</v>
      </c>
      <c r="G78" s="145">
        <f t="shared" si="69"/>
        <v>2</v>
      </c>
      <c r="H78" s="145">
        <f t="shared" si="70"/>
        <v>2</v>
      </c>
      <c r="I78" s="146">
        <f t="shared" si="71"/>
        <v>2.71633753744552</v>
      </c>
      <c r="J78" s="147"/>
      <c r="K78" s="145">
        <f t="shared" si="72"/>
        <v>0</v>
      </c>
      <c r="L78" s="145">
        <f t="shared" si="73"/>
        <v>6</v>
      </c>
      <c r="M78" s="145">
        <f t="shared" si="74"/>
        <v>7.08</v>
      </c>
      <c r="N78" s="145">
        <f t="shared" si="75"/>
        <v>9.61583488255714</v>
      </c>
      <c r="O78" s="145">
        <f t="shared" si="76"/>
        <v>0</v>
      </c>
      <c r="P78" s="145">
        <f t="shared" si="77"/>
        <v>24.86535014978208</v>
      </c>
      <c r="Q78" s="147">
        <f t="shared" si="78"/>
        <v>41.561185032339225</v>
      </c>
      <c r="R78" s="147"/>
      <c r="S78" s="128">
        <f t="shared" si="79"/>
        <v>0.010937376283656524</v>
      </c>
      <c r="T78" s="128">
        <f t="shared" si="80"/>
        <v>0.11339619495470227</v>
      </c>
      <c r="U78" s="145">
        <f t="shared" si="81"/>
        <v>0</v>
      </c>
      <c r="V78" s="145">
        <f t="shared" si="82"/>
        <v>0</v>
      </c>
      <c r="W78" s="128">
        <f t="shared" si="15"/>
        <v>0</v>
      </c>
    </row>
    <row r="79" spans="1:23" ht="12.75">
      <c r="A79" s="141">
        <f>+'SMAW-SMAW'!A79</f>
        <v>62</v>
      </c>
      <c r="B79" s="142">
        <v>2</v>
      </c>
      <c r="C79" s="143">
        <v>60.3</v>
      </c>
      <c r="D79" s="143">
        <v>5.54</v>
      </c>
      <c r="E79" s="144" t="s">
        <v>82</v>
      </c>
      <c r="F79" s="145">
        <f t="shared" si="0"/>
        <v>2</v>
      </c>
      <c r="G79" s="145">
        <f t="shared" si="69"/>
        <v>2</v>
      </c>
      <c r="H79" s="145">
        <f t="shared" si="70"/>
        <v>2</v>
      </c>
      <c r="I79" s="146">
        <f t="shared" si="71"/>
        <v>2.71633753744552</v>
      </c>
      <c r="J79" s="147"/>
      <c r="K79" s="145">
        <f t="shared" si="72"/>
        <v>0</v>
      </c>
      <c r="L79" s="145">
        <f t="shared" si="73"/>
        <v>6</v>
      </c>
      <c r="M79" s="145">
        <f t="shared" si="74"/>
        <v>7.08</v>
      </c>
      <c r="N79" s="145">
        <f t="shared" si="75"/>
        <v>9.61583488255714</v>
      </c>
      <c r="O79" s="145">
        <f t="shared" si="76"/>
        <v>0</v>
      </c>
      <c r="P79" s="145">
        <f t="shared" si="77"/>
        <v>24.86535014978208</v>
      </c>
      <c r="Q79" s="147">
        <f t="shared" si="78"/>
        <v>41.561185032339225</v>
      </c>
      <c r="R79" s="147"/>
      <c r="S79" s="128">
        <f t="shared" si="79"/>
        <v>0.010937376283656524</v>
      </c>
      <c r="T79" s="128">
        <f t="shared" si="80"/>
        <v>0.11339619495470227</v>
      </c>
      <c r="U79" s="145">
        <f t="shared" si="81"/>
        <v>0</v>
      </c>
      <c r="V79" s="145">
        <f t="shared" si="82"/>
        <v>0</v>
      </c>
      <c r="W79" s="128">
        <f t="shared" si="15"/>
        <v>0</v>
      </c>
    </row>
    <row r="80" spans="1:23" ht="12.75">
      <c r="A80" s="141">
        <f>+'SMAW-SMAW'!A80</f>
        <v>63</v>
      </c>
      <c r="B80" s="142">
        <v>2</v>
      </c>
      <c r="C80" s="143">
        <v>60.3</v>
      </c>
      <c r="D80" s="143">
        <v>5.54</v>
      </c>
      <c r="E80" s="144" t="s">
        <v>89</v>
      </c>
      <c r="F80" s="145">
        <f t="shared" si="0"/>
        <v>2</v>
      </c>
      <c r="G80" s="145">
        <f t="shared" si="69"/>
        <v>2</v>
      </c>
      <c r="H80" s="145">
        <f t="shared" si="70"/>
        <v>2</v>
      </c>
      <c r="I80" s="146">
        <f t="shared" si="71"/>
        <v>2.71633753744552</v>
      </c>
      <c r="J80" s="147"/>
      <c r="K80" s="145">
        <f t="shared" si="72"/>
        <v>0</v>
      </c>
      <c r="L80" s="145">
        <f t="shared" si="73"/>
        <v>6</v>
      </c>
      <c r="M80" s="145">
        <f t="shared" si="74"/>
        <v>7.08</v>
      </c>
      <c r="N80" s="145">
        <f t="shared" si="75"/>
        <v>9.61583488255714</v>
      </c>
      <c r="O80" s="145">
        <f t="shared" si="76"/>
        <v>0</v>
      </c>
      <c r="P80" s="145">
        <f t="shared" si="77"/>
        <v>24.86535014978208</v>
      </c>
      <c r="Q80" s="147">
        <f t="shared" si="78"/>
        <v>41.561185032339225</v>
      </c>
      <c r="R80" s="147"/>
      <c r="S80" s="128">
        <f t="shared" si="79"/>
        <v>0.010937376283656524</v>
      </c>
      <c r="T80" s="128">
        <f t="shared" si="80"/>
        <v>0.11339619495470227</v>
      </c>
      <c r="U80" s="145">
        <f t="shared" si="81"/>
        <v>0</v>
      </c>
      <c r="V80" s="145">
        <f t="shared" si="82"/>
        <v>0</v>
      </c>
      <c r="W80" s="128">
        <f t="shared" si="15"/>
        <v>0</v>
      </c>
    </row>
    <row r="81" spans="1:23" ht="12.75">
      <c r="A81" s="141">
        <f>+'SMAW-SMAW'!A81</f>
        <v>64</v>
      </c>
      <c r="B81" s="142">
        <v>2</v>
      </c>
      <c r="C81" s="143">
        <v>60.3</v>
      </c>
      <c r="D81" s="143">
        <v>8.74</v>
      </c>
      <c r="E81" s="144" t="s">
        <v>90</v>
      </c>
      <c r="F81" s="145">
        <f t="shared" si="0"/>
        <v>2</v>
      </c>
      <c r="G81" s="145">
        <f t="shared" si="69"/>
        <v>2</v>
      </c>
      <c r="H81" s="145">
        <f t="shared" si="70"/>
        <v>2</v>
      </c>
      <c r="I81" s="146">
        <f t="shared" si="71"/>
        <v>5.171783898978193</v>
      </c>
      <c r="J81" s="147"/>
      <c r="K81" s="145">
        <f t="shared" si="72"/>
        <v>0</v>
      </c>
      <c r="L81" s="145">
        <f t="shared" si="73"/>
        <v>6</v>
      </c>
      <c r="M81" s="145">
        <f t="shared" si="74"/>
        <v>13.48</v>
      </c>
      <c r="N81" s="145">
        <f t="shared" si="75"/>
        <v>34.85782347911302</v>
      </c>
      <c r="O81" s="145">
        <f t="shared" si="76"/>
        <v>0</v>
      </c>
      <c r="P81" s="145">
        <f t="shared" si="77"/>
        <v>34.68713559591277</v>
      </c>
      <c r="Q81" s="147">
        <f t="shared" si="78"/>
        <v>83.0249590750258</v>
      </c>
      <c r="R81" s="147"/>
      <c r="S81" s="128">
        <f t="shared" si="79"/>
        <v>0.009622096159353596</v>
      </c>
      <c r="T81" s="128">
        <f t="shared" si="80"/>
        <v>0.22022655000297361</v>
      </c>
      <c r="U81" s="145">
        <f t="shared" si="81"/>
        <v>0</v>
      </c>
      <c r="V81" s="145">
        <f t="shared" si="82"/>
        <v>0</v>
      </c>
      <c r="W81" s="128">
        <f t="shared" si="15"/>
        <v>0</v>
      </c>
    </row>
    <row r="82" spans="1:23" ht="12.75">
      <c r="A82" s="141">
        <f>+'SMAW-SMAW'!A82</f>
        <v>65</v>
      </c>
      <c r="B82" s="142">
        <v>2</v>
      </c>
      <c r="C82" s="143">
        <v>60.3</v>
      </c>
      <c r="D82" s="143">
        <v>11.071</v>
      </c>
      <c r="E82" s="144" t="s">
        <v>83</v>
      </c>
      <c r="F82" s="145">
        <f t="shared" si="0"/>
        <v>2</v>
      </c>
      <c r="G82" s="145">
        <f t="shared" si="69"/>
        <v>2</v>
      </c>
      <c r="H82" s="145">
        <f t="shared" si="70"/>
        <v>2</v>
      </c>
      <c r="I82" s="146">
        <f t="shared" si="71"/>
        <v>6.9604231079571495</v>
      </c>
      <c r="J82" s="147"/>
      <c r="K82" s="145">
        <f t="shared" si="72"/>
        <v>0</v>
      </c>
      <c r="L82" s="145">
        <f t="shared" si="73"/>
        <v>6</v>
      </c>
      <c r="M82" s="145">
        <f t="shared" si="74"/>
        <v>18.142</v>
      </c>
      <c r="N82" s="145">
        <f t="shared" si="75"/>
        <v>63.137998012279304</v>
      </c>
      <c r="O82" s="145">
        <f t="shared" si="76"/>
        <v>0</v>
      </c>
      <c r="P82" s="145">
        <f t="shared" si="77"/>
        <v>41.8416924318286</v>
      </c>
      <c r="Q82" s="147">
        <f t="shared" si="78"/>
        <v>123.12169044410791</v>
      </c>
      <c r="R82" s="147"/>
      <c r="S82" s="128">
        <f t="shared" si="79"/>
        <v>0.008663996793806686</v>
      </c>
      <c r="T82" s="128">
        <f t="shared" si="80"/>
        <v>0.3197789575238506</v>
      </c>
      <c r="U82" s="145">
        <f t="shared" si="81"/>
        <v>0</v>
      </c>
      <c r="V82" s="145">
        <f t="shared" si="82"/>
        <v>0</v>
      </c>
      <c r="W82" s="128">
        <f t="shared" si="15"/>
        <v>0</v>
      </c>
    </row>
    <row r="83" spans="1:23" ht="12.75">
      <c r="A83" s="141">
        <f>+'SMAW-SMAW'!A83</f>
        <v>66</v>
      </c>
      <c r="B83" s="142"/>
      <c r="C83" s="143"/>
      <c r="D83" s="143"/>
      <c r="E83" s="144"/>
      <c r="F83" s="145"/>
      <c r="G83" s="145">
        <f t="shared" si="69"/>
        <v>0</v>
      </c>
      <c r="H83" s="145"/>
      <c r="I83" s="146"/>
      <c r="J83" s="147"/>
      <c r="K83" s="145"/>
      <c r="L83" s="145"/>
      <c r="M83" s="145"/>
      <c r="N83" s="145"/>
      <c r="O83" s="145"/>
      <c r="P83" s="145"/>
      <c r="Q83" s="147"/>
      <c r="R83" s="147"/>
      <c r="S83" s="128"/>
      <c r="T83" s="128"/>
      <c r="U83" s="145"/>
      <c r="V83" s="145"/>
      <c r="W83" s="128">
        <f aca="true" t="shared" si="83" ref="W83:W146">SUM(U83:V83)</f>
        <v>0</v>
      </c>
    </row>
    <row r="84" spans="1:23" ht="12.75">
      <c r="A84" s="141">
        <f>+'SMAW-SMAW'!A84</f>
        <v>67</v>
      </c>
      <c r="B84" s="142">
        <v>2.5</v>
      </c>
      <c r="C84" s="143">
        <v>73</v>
      </c>
      <c r="D84" s="143">
        <v>2.11</v>
      </c>
      <c r="E84" s="144" t="s">
        <v>81</v>
      </c>
      <c r="F84" s="145">
        <f t="shared" si="0"/>
        <v>2</v>
      </c>
      <c r="G84" s="145">
        <f t="shared" si="69"/>
        <v>2</v>
      </c>
      <c r="H84" s="145">
        <f>IF(D84&lt;=19,2,3)</f>
        <v>2</v>
      </c>
      <c r="I84" s="146">
        <f>IF(D84&lt;=19,(D84-G84)*TAN($C$8*PI()/180),(19-G84)*TAN($C$8*PI()/180))</f>
        <v>0.08440596867768554</v>
      </c>
      <c r="J84" s="147"/>
      <c r="K84" s="145">
        <f>IF(D84&lt;=19,0,(D84-19)*TAN($C$10*PI()/180))</f>
        <v>0</v>
      </c>
      <c r="L84" s="145">
        <f>+F84*(G84*1.5)</f>
        <v>6</v>
      </c>
      <c r="M84" s="145">
        <f>+F84*(D84-G84)</f>
        <v>0.21999999999999975</v>
      </c>
      <c r="N84" s="145">
        <f>IF(D84&lt;=19,(D84-G84)*I84,(19-G84)*I84)</f>
        <v>0.0092846565545454</v>
      </c>
      <c r="O84" s="145">
        <f>IF(D84&lt;=19,0,(I84*(D84-19)*2)+((K84)*(D84-19)))</f>
        <v>0</v>
      </c>
      <c r="P84" s="145">
        <f>+(5+F84+(2*(I84+K84)))*H84</f>
        <v>14.337623874710742</v>
      </c>
      <c r="Q84" s="147">
        <f>SUM(M84:P84)</f>
        <v>14.566908531265288</v>
      </c>
      <c r="R84" s="147"/>
      <c r="S84" s="128">
        <f>IF(D$6=1,(PI()*(C84-(2*D84)+(2*G84))*L84*0.1*0.01*7.85*0.001/(S$16*S$17)),0)</f>
        <v>0.014957201163557346</v>
      </c>
      <c r="T84" s="128">
        <f>IF(D$6=1,(PI()*(C84-(0.5*D84))*(Q84)*0.1*0.01*7.85*0.001/(T$16*T$17)),0)</f>
        <v>0.04970318231602491</v>
      </c>
      <c r="U84" s="145">
        <f>IF(D$6=1,0,(PI()*(C84-(2*D84)+(2*G84))*L84*0.1*0.01*7.85*0.001/(U$16*U$17)))</f>
        <v>0</v>
      </c>
      <c r="V84" s="145">
        <f>IF(D$6=1,0,(PI()*(C84-(0.5*D84))*(Q84)*0.1*0.01*7.85*0.001/(V$16*V$17)))</f>
        <v>0</v>
      </c>
      <c r="W84" s="128">
        <f t="shared" si="83"/>
        <v>0</v>
      </c>
    </row>
    <row r="85" spans="1:23" ht="12.75">
      <c r="A85" s="141">
        <f>+'SMAW-SMAW'!A85</f>
        <v>68</v>
      </c>
      <c r="B85" s="142">
        <v>2.5</v>
      </c>
      <c r="C85" s="143">
        <v>73</v>
      </c>
      <c r="D85" s="143">
        <v>3.05</v>
      </c>
      <c r="E85" s="144" t="s">
        <v>84</v>
      </c>
      <c r="F85" s="145">
        <f t="shared" si="0"/>
        <v>2</v>
      </c>
      <c r="G85" s="145">
        <f t="shared" si="69"/>
        <v>2</v>
      </c>
      <c r="H85" s="145">
        <f aca="true" t="shared" si="84" ref="H85:H93">IF(D85&lt;=19,2,3)</f>
        <v>2</v>
      </c>
      <c r="I85" s="146">
        <f aca="true" t="shared" si="85" ref="I85:I93">IF(D85&lt;=19,(D85-G85)*TAN($C$8*PI()/180),(19-G85)*TAN($C$8*PI()/180))</f>
        <v>0.8056933373779083</v>
      </c>
      <c r="J85" s="147"/>
      <c r="K85" s="145">
        <f aca="true" t="shared" si="86" ref="K85:K93">IF(D85&lt;=19,0,(D85-19)*TAN($C$10*PI()/180))</f>
        <v>0</v>
      </c>
      <c r="L85" s="145">
        <f aca="true" t="shared" si="87" ref="L85:L93">+F85*(G85*1.5)</f>
        <v>6</v>
      </c>
      <c r="M85" s="145">
        <f aca="true" t="shared" si="88" ref="M85:M93">+F85*(D85-G85)</f>
        <v>2.0999999999999996</v>
      </c>
      <c r="N85" s="145">
        <f aca="true" t="shared" si="89" ref="N85:N93">IF(D85&lt;=19,(D85-G85)*I85,(19-G85)*I85)</f>
        <v>0.8459780042468036</v>
      </c>
      <c r="O85" s="145">
        <f aca="true" t="shared" si="90" ref="O85:O93">IF(D85&lt;=19,0,(I85*(D85-19)*2)+((K85)*(D85-19)))</f>
        <v>0</v>
      </c>
      <c r="P85" s="145">
        <f aca="true" t="shared" si="91" ref="P85:P93">+(5+F85+(2*(I85+K85)))*H85</f>
        <v>17.222773349511634</v>
      </c>
      <c r="Q85" s="147">
        <f aca="true" t="shared" si="92" ref="Q85:Q93">SUM(M85:P85)</f>
        <v>20.168751353758438</v>
      </c>
      <c r="R85" s="147"/>
      <c r="S85" s="128">
        <f aca="true" t="shared" si="93" ref="S85:S93">IF(D$6=1,(PI()*(C85-(2*D85)+(2*G85))*L85*0.1*0.01*7.85*0.001/(S$16*S$17)),0)</f>
        <v>0.01457083762704336</v>
      </c>
      <c r="T85" s="128">
        <f aca="true" t="shared" si="94" ref="T85:T93">IF(D$6=1,(PI()*(C85-(0.5*D85))*(Q85)*0.1*0.01*7.85*0.001/(T$16*T$17)),0)</f>
        <v>0.06836744685826278</v>
      </c>
      <c r="U85" s="145">
        <f aca="true" t="shared" si="95" ref="U85:U93">IF(D$6=1,0,(PI()*(C85-(2*D85)+(2*G85))*L85*0.1*0.01*7.85*0.001/(U$16*U$17)))</f>
        <v>0</v>
      </c>
      <c r="V85" s="145">
        <f aca="true" t="shared" si="96" ref="V85:V93">IF(D$6=1,0,(PI()*(C85-(0.5*D85))*(Q85)*0.1*0.01*7.85*0.001/(V$16*V$17)))</f>
        <v>0</v>
      </c>
      <c r="W85" s="128">
        <f t="shared" si="83"/>
        <v>0</v>
      </c>
    </row>
    <row r="86" spans="1:23" ht="12.75">
      <c r="A86" s="141">
        <f>+'SMAW-SMAW'!A86</f>
        <v>69</v>
      </c>
      <c r="B86" s="142">
        <v>2.5</v>
      </c>
      <c r="C86" s="143">
        <v>73</v>
      </c>
      <c r="D86" s="143">
        <v>5.16</v>
      </c>
      <c r="E86" s="144" t="s">
        <v>85</v>
      </c>
      <c r="F86" s="145">
        <f t="shared" si="0"/>
        <v>2</v>
      </c>
      <c r="G86" s="145">
        <f t="shared" si="69"/>
        <v>2</v>
      </c>
      <c r="H86" s="145">
        <f t="shared" si="84"/>
        <v>2</v>
      </c>
      <c r="I86" s="146">
        <f t="shared" si="85"/>
        <v>2.4247532820135147</v>
      </c>
      <c r="J86" s="147"/>
      <c r="K86" s="145">
        <f t="shared" si="86"/>
        <v>0</v>
      </c>
      <c r="L86" s="145">
        <f t="shared" si="87"/>
        <v>6</v>
      </c>
      <c r="M86" s="145">
        <f t="shared" si="88"/>
        <v>6.32</v>
      </c>
      <c r="N86" s="145">
        <f t="shared" si="89"/>
        <v>7.662220371162706</v>
      </c>
      <c r="O86" s="145">
        <f t="shared" si="90"/>
        <v>0</v>
      </c>
      <c r="P86" s="145">
        <f t="shared" si="91"/>
        <v>23.69901312805406</v>
      </c>
      <c r="Q86" s="147">
        <f t="shared" si="92"/>
        <v>37.681233499216766</v>
      </c>
      <c r="R86" s="147"/>
      <c r="S86" s="128">
        <f t="shared" si="93"/>
        <v>0.01370357479508112</v>
      </c>
      <c r="T86" s="128">
        <f t="shared" si="94"/>
        <v>0.12584539190601673</v>
      </c>
      <c r="U86" s="145">
        <f t="shared" si="95"/>
        <v>0</v>
      </c>
      <c r="V86" s="145">
        <f t="shared" si="96"/>
        <v>0</v>
      </c>
      <c r="W86" s="128">
        <f t="shared" si="83"/>
        <v>0</v>
      </c>
    </row>
    <row r="87" spans="1:23" ht="12.75">
      <c r="A87" s="141">
        <f>+'SMAW-SMAW'!A87</f>
        <v>70</v>
      </c>
      <c r="B87" s="142">
        <v>2.5</v>
      </c>
      <c r="C87" s="143">
        <v>73</v>
      </c>
      <c r="D87" s="143">
        <v>5.16</v>
      </c>
      <c r="E87" s="144" t="s">
        <v>86</v>
      </c>
      <c r="F87" s="145">
        <f t="shared" si="0"/>
        <v>2</v>
      </c>
      <c r="G87" s="145">
        <f t="shared" si="69"/>
        <v>2</v>
      </c>
      <c r="H87" s="145">
        <f t="shared" si="84"/>
        <v>2</v>
      </c>
      <c r="I87" s="146">
        <f t="shared" si="85"/>
        <v>2.4247532820135147</v>
      </c>
      <c r="J87" s="147"/>
      <c r="K87" s="145">
        <f t="shared" si="86"/>
        <v>0</v>
      </c>
      <c r="L87" s="145">
        <f t="shared" si="87"/>
        <v>6</v>
      </c>
      <c r="M87" s="145">
        <f t="shared" si="88"/>
        <v>6.32</v>
      </c>
      <c r="N87" s="145">
        <f t="shared" si="89"/>
        <v>7.662220371162706</v>
      </c>
      <c r="O87" s="145">
        <f t="shared" si="90"/>
        <v>0</v>
      </c>
      <c r="P87" s="145">
        <f t="shared" si="91"/>
        <v>23.69901312805406</v>
      </c>
      <c r="Q87" s="147">
        <f t="shared" si="92"/>
        <v>37.681233499216766</v>
      </c>
      <c r="R87" s="147"/>
      <c r="S87" s="128">
        <f t="shared" si="93"/>
        <v>0.01370357479508112</v>
      </c>
      <c r="T87" s="128">
        <f t="shared" si="94"/>
        <v>0.12584539190601673</v>
      </c>
      <c r="U87" s="145">
        <f t="shared" si="95"/>
        <v>0</v>
      </c>
      <c r="V87" s="145">
        <f t="shared" si="96"/>
        <v>0</v>
      </c>
      <c r="W87" s="128">
        <f t="shared" si="83"/>
        <v>0</v>
      </c>
    </row>
    <row r="88" spans="1:23" ht="12.75">
      <c r="A88" s="141">
        <f>+'SMAW-SMAW'!A88</f>
        <v>71</v>
      </c>
      <c r="B88" s="142">
        <v>2.5</v>
      </c>
      <c r="C88" s="143">
        <v>73</v>
      </c>
      <c r="D88" s="143">
        <v>5.16</v>
      </c>
      <c r="E88" s="144" t="s">
        <v>87</v>
      </c>
      <c r="F88" s="145">
        <f t="shared" si="0"/>
        <v>2</v>
      </c>
      <c r="G88" s="145">
        <f t="shared" si="69"/>
        <v>2</v>
      </c>
      <c r="H88" s="145">
        <f t="shared" si="84"/>
        <v>2</v>
      </c>
      <c r="I88" s="146">
        <f t="shared" si="85"/>
        <v>2.4247532820135147</v>
      </c>
      <c r="J88" s="147"/>
      <c r="K88" s="145">
        <f t="shared" si="86"/>
        <v>0</v>
      </c>
      <c r="L88" s="145">
        <f t="shared" si="87"/>
        <v>6</v>
      </c>
      <c r="M88" s="145">
        <f t="shared" si="88"/>
        <v>6.32</v>
      </c>
      <c r="N88" s="145">
        <f t="shared" si="89"/>
        <v>7.662220371162706</v>
      </c>
      <c r="O88" s="145">
        <f t="shared" si="90"/>
        <v>0</v>
      </c>
      <c r="P88" s="145">
        <f t="shared" si="91"/>
        <v>23.69901312805406</v>
      </c>
      <c r="Q88" s="147">
        <f t="shared" si="92"/>
        <v>37.681233499216766</v>
      </c>
      <c r="R88" s="147"/>
      <c r="S88" s="128">
        <f t="shared" si="93"/>
        <v>0.01370357479508112</v>
      </c>
      <c r="T88" s="128">
        <f t="shared" si="94"/>
        <v>0.12584539190601673</v>
      </c>
      <c r="U88" s="145">
        <f t="shared" si="95"/>
        <v>0</v>
      </c>
      <c r="V88" s="145">
        <f t="shared" si="96"/>
        <v>0</v>
      </c>
      <c r="W88" s="128">
        <f t="shared" si="83"/>
        <v>0</v>
      </c>
    </row>
    <row r="89" spans="1:23" ht="12.75">
      <c r="A89" s="141">
        <f>+'SMAW-SMAW'!A89</f>
        <v>72</v>
      </c>
      <c r="B89" s="142">
        <v>2.5</v>
      </c>
      <c r="C89" s="143">
        <v>73</v>
      </c>
      <c r="D89" s="143">
        <v>7.01</v>
      </c>
      <c r="E89" s="144" t="s">
        <v>88</v>
      </c>
      <c r="F89" s="145">
        <f t="shared" si="0"/>
        <v>2</v>
      </c>
      <c r="G89" s="145">
        <f t="shared" si="69"/>
        <v>2</v>
      </c>
      <c r="H89" s="145">
        <f t="shared" si="84"/>
        <v>2</v>
      </c>
      <c r="I89" s="146">
        <f t="shared" si="85"/>
        <v>3.8443082097745913</v>
      </c>
      <c r="J89" s="147"/>
      <c r="K89" s="145">
        <f t="shared" si="86"/>
        <v>0</v>
      </c>
      <c r="L89" s="145">
        <f t="shared" si="87"/>
        <v>6</v>
      </c>
      <c r="M89" s="145">
        <f t="shared" si="88"/>
        <v>10.02</v>
      </c>
      <c r="N89" s="145">
        <f t="shared" si="89"/>
        <v>19.2599841309707</v>
      </c>
      <c r="O89" s="145">
        <f t="shared" si="90"/>
        <v>0</v>
      </c>
      <c r="P89" s="145">
        <f t="shared" si="91"/>
        <v>29.377232839098365</v>
      </c>
      <c r="Q89" s="147">
        <f t="shared" si="92"/>
        <v>58.657216970069065</v>
      </c>
      <c r="R89" s="147"/>
      <c r="S89" s="128">
        <f t="shared" si="93"/>
        <v>0.012943178473218488</v>
      </c>
      <c r="T89" s="128">
        <f t="shared" si="94"/>
        <v>0.19332641555639304</v>
      </c>
      <c r="U89" s="145">
        <f t="shared" si="95"/>
        <v>0</v>
      </c>
      <c r="V89" s="145">
        <f t="shared" si="96"/>
        <v>0</v>
      </c>
      <c r="W89" s="128">
        <f t="shared" si="83"/>
        <v>0</v>
      </c>
    </row>
    <row r="90" spans="1:23" ht="12.75">
      <c r="A90" s="141">
        <f>+'SMAW-SMAW'!A90</f>
        <v>73</v>
      </c>
      <c r="B90" s="142">
        <v>2.5</v>
      </c>
      <c r="C90" s="143">
        <v>73</v>
      </c>
      <c r="D90" s="143">
        <v>7.01</v>
      </c>
      <c r="E90" s="144" t="s">
        <v>82</v>
      </c>
      <c r="F90" s="145">
        <f t="shared" si="0"/>
        <v>2</v>
      </c>
      <c r="G90" s="145">
        <f t="shared" si="69"/>
        <v>2</v>
      </c>
      <c r="H90" s="145">
        <f t="shared" si="84"/>
        <v>2</v>
      </c>
      <c r="I90" s="146">
        <f t="shared" si="85"/>
        <v>3.8443082097745913</v>
      </c>
      <c r="J90" s="147"/>
      <c r="K90" s="145">
        <f t="shared" si="86"/>
        <v>0</v>
      </c>
      <c r="L90" s="145">
        <f t="shared" si="87"/>
        <v>6</v>
      </c>
      <c r="M90" s="145">
        <f t="shared" si="88"/>
        <v>10.02</v>
      </c>
      <c r="N90" s="145">
        <f t="shared" si="89"/>
        <v>19.2599841309707</v>
      </c>
      <c r="O90" s="145">
        <f t="shared" si="90"/>
        <v>0</v>
      </c>
      <c r="P90" s="145">
        <f t="shared" si="91"/>
        <v>29.377232839098365</v>
      </c>
      <c r="Q90" s="147">
        <f t="shared" si="92"/>
        <v>58.657216970069065</v>
      </c>
      <c r="R90" s="147"/>
      <c r="S90" s="128">
        <f t="shared" si="93"/>
        <v>0.012943178473218488</v>
      </c>
      <c r="T90" s="128">
        <f t="shared" si="94"/>
        <v>0.19332641555639304</v>
      </c>
      <c r="U90" s="145">
        <f t="shared" si="95"/>
        <v>0</v>
      </c>
      <c r="V90" s="145">
        <f t="shared" si="96"/>
        <v>0</v>
      </c>
      <c r="W90" s="128">
        <f t="shared" si="83"/>
        <v>0</v>
      </c>
    </row>
    <row r="91" spans="1:23" ht="12.75">
      <c r="A91" s="141">
        <f>+'SMAW-SMAW'!A91</f>
        <v>74</v>
      </c>
      <c r="B91" s="142">
        <v>2.5</v>
      </c>
      <c r="C91" s="143">
        <v>73</v>
      </c>
      <c r="D91" s="143">
        <v>7.01</v>
      </c>
      <c r="E91" s="144" t="s">
        <v>89</v>
      </c>
      <c r="F91" s="145">
        <f t="shared" si="0"/>
        <v>2</v>
      </c>
      <c r="G91" s="145">
        <f t="shared" si="69"/>
        <v>2</v>
      </c>
      <c r="H91" s="145">
        <f t="shared" si="84"/>
        <v>2</v>
      </c>
      <c r="I91" s="146">
        <f t="shared" si="85"/>
        <v>3.8443082097745913</v>
      </c>
      <c r="J91" s="147"/>
      <c r="K91" s="145">
        <f t="shared" si="86"/>
        <v>0</v>
      </c>
      <c r="L91" s="145">
        <f t="shared" si="87"/>
        <v>6</v>
      </c>
      <c r="M91" s="145">
        <f t="shared" si="88"/>
        <v>10.02</v>
      </c>
      <c r="N91" s="145">
        <f t="shared" si="89"/>
        <v>19.2599841309707</v>
      </c>
      <c r="O91" s="145">
        <f t="shared" si="90"/>
        <v>0</v>
      </c>
      <c r="P91" s="145">
        <f t="shared" si="91"/>
        <v>29.377232839098365</v>
      </c>
      <c r="Q91" s="147">
        <f t="shared" si="92"/>
        <v>58.657216970069065</v>
      </c>
      <c r="R91" s="147"/>
      <c r="S91" s="128">
        <f t="shared" si="93"/>
        <v>0.012943178473218488</v>
      </c>
      <c r="T91" s="128">
        <f t="shared" si="94"/>
        <v>0.19332641555639304</v>
      </c>
      <c r="U91" s="145">
        <f t="shared" si="95"/>
        <v>0</v>
      </c>
      <c r="V91" s="145">
        <f t="shared" si="96"/>
        <v>0</v>
      </c>
      <c r="W91" s="128">
        <f t="shared" si="83"/>
        <v>0</v>
      </c>
    </row>
    <row r="92" spans="1:23" ht="12.75">
      <c r="A92" s="141">
        <f>+'SMAW-SMAW'!A92</f>
        <v>75</v>
      </c>
      <c r="B92" s="142">
        <v>2.5</v>
      </c>
      <c r="C92" s="143">
        <v>73</v>
      </c>
      <c r="D92" s="143">
        <v>9.52</v>
      </c>
      <c r="E92" s="144" t="s">
        <v>90</v>
      </c>
      <c r="F92" s="145">
        <f t="shared" si="0"/>
        <v>2</v>
      </c>
      <c r="G92" s="145">
        <f t="shared" si="69"/>
        <v>2</v>
      </c>
      <c r="H92" s="145">
        <f t="shared" si="84"/>
        <v>2</v>
      </c>
      <c r="I92" s="146">
        <f t="shared" si="85"/>
        <v>5.770298949601782</v>
      </c>
      <c r="J92" s="147"/>
      <c r="K92" s="145">
        <f t="shared" si="86"/>
        <v>0</v>
      </c>
      <c r="L92" s="145">
        <f t="shared" si="87"/>
        <v>6</v>
      </c>
      <c r="M92" s="145">
        <f t="shared" si="88"/>
        <v>15.04</v>
      </c>
      <c r="N92" s="145">
        <f t="shared" si="89"/>
        <v>43.39264810100539</v>
      </c>
      <c r="O92" s="145">
        <f t="shared" si="90"/>
        <v>0</v>
      </c>
      <c r="P92" s="145">
        <f t="shared" si="91"/>
        <v>37.08119579840712</v>
      </c>
      <c r="Q92" s="147">
        <f t="shared" si="92"/>
        <v>95.5138438994125</v>
      </c>
      <c r="R92" s="147"/>
      <c r="S92" s="128">
        <f t="shared" si="93"/>
        <v>0.01191150562571838</v>
      </c>
      <c r="T92" s="128">
        <f t="shared" si="94"/>
        <v>0.3091160301536515</v>
      </c>
      <c r="U92" s="145">
        <f t="shared" si="95"/>
        <v>0</v>
      </c>
      <c r="V92" s="145">
        <f t="shared" si="96"/>
        <v>0</v>
      </c>
      <c r="W92" s="128">
        <f t="shared" si="83"/>
        <v>0</v>
      </c>
    </row>
    <row r="93" spans="1:23" ht="12.75">
      <c r="A93" s="141">
        <f>+'SMAW-SMAW'!A93</f>
        <v>76</v>
      </c>
      <c r="B93" s="142">
        <v>2.5</v>
      </c>
      <c r="C93" s="143">
        <v>73</v>
      </c>
      <c r="D93" s="143">
        <v>14.021</v>
      </c>
      <c r="E93" s="144" t="s">
        <v>83</v>
      </c>
      <c r="F93" s="145">
        <f t="shared" si="0"/>
        <v>2</v>
      </c>
      <c r="G93" s="145">
        <f t="shared" si="69"/>
        <v>2</v>
      </c>
      <c r="H93" s="145">
        <f t="shared" si="84"/>
        <v>2</v>
      </c>
      <c r="I93" s="146">
        <f t="shared" si="85"/>
        <v>9.224037722495083</v>
      </c>
      <c r="J93" s="147"/>
      <c r="K93" s="145">
        <f t="shared" si="86"/>
        <v>0</v>
      </c>
      <c r="L93" s="145">
        <f t="shared" si="87"/>
        <v>6</v>
      </c>
      <c r="M93" s="145">
        <f t="shared" si="88"/>
        <v>24.042</v>
      </c>
      <c r="N93" s="145">
        <f t="shared" si="89"/>
        <v>110.8821574621134</v>
      </c>
      <c r="O93" s="145">
        <f t="shared" si="90"/>
        <v>0</v>
      </c>
      <c r="P93" s="145">
        <f t="shared" si="91"/>
        <v>50.89615088998033</v>
      </c>
      <c r="Q93" s="147">
        <f t="shared" si="92"/>
        <v>185.82030835209372</v>
      </c>
      <c r="R93" s="147"/>
      <c r="S93" s="128">
        <f t="shared" si="93"/>
        <v>0.010061481925878545</v>
      </c>
      <c r="T93" s="128">
        <f t="shared" si="94"/>
        <v>0.5815461701388205</v>
      </c>
      <c r="U93" s="145">
        <f t="shared" si="95"/>
        <v>0</v>
      </c>
      <c r="V93" s="145">
        <f t="shared" si="96"/>
        <v>0</v>
      </c>
      <c r="W93" s="128">
        <f t="shared" si="83"/>
        <v>0</v>
      </c>
    </row>
    <row r="94" spans="1:23" ht="12.75">
      <c r="A94" s="141">
        <f>+'SMAW-SMAW'!A94</f>
        <v>77</v>
      </c>
      <c r="B94" s="142"/>
      <c r="C94" s="143"/>
      <c r="D94" s="143"/>
      <c r="E94" s="144"/>
      <c r="F94" s="145"/>
      <c r="G94" s="145">
        <f t="shared" si="69"/>
        <v>0</v>
      </c>
      <c r="H94" s="145"/>
      <c r="I94" s="146"/>
      <c r="J94" s="147"/>
      <c r="K94" s="145"/>
      <c r="L94" s="145"/>
      <c r="M94" s="145"/>
      <c r="N94" s="145"/>
      <c r="O94" s="145"/>
      <c r="P94" s="145"/>
      <c r="Q94" s="147"/>
      <c r="R94" s="147"/>
      <c r="S94" s="128"/>
      <c r="T94" s="128"/>
      <c r="U94" s="145"/>
      <c r="V94" s="145"/>
      <c r="W94" s="128">
        <f t="shared" si="83"/>
        <v>0</v>
      </c>
    </row>
    <row r="95" spans="1:23" ht="12.75">
      <c r="A95" s="141">
        <f>+'SMAW-SMAW'!A95</f>
        <v>78</v>
      </c>
      <c r="B95" s="142">
        <v>3</v>
      </c>
      <c r="C95" s="143">
        <v>88.9</v>
      </c>
      <c r="D95" s="143">
        <v>2.11</v>
      </c>
      <c r="E95" s="144" t="s">
        <v>81</v>
      </c>
      <c r="F95" s="145">
        <f t="shared" si="0"/>
        <v>2</v>
      </c>
      <c r="G95" s="145">
        <f t="shared" si="69"/>
        <v>2</v>
      </c>
      <c r="H95" s="145">
        <f>IF(D95&lt;=19,2,3)</f>
        <v>2</v>
      </c>
      <c r="I95" s="146">
        <f>IF(D95&lt;=19,(D95-G95)*TAN($C$8*PI()/180),(19-G95)*TAN($C$8*PI()/180))</f>
        <v>0.08440596867768554</v>
      </c>
      <c r="J95" s="147"/>
      <c r="K95" s="145">
        <f>IF(D95&lt;=19,0,(D95-19)*TAN($C$10*PI()/180))</f>
        <v>0</v>
      </c>
      <c r="L95" s="145">
        <f>+F95*(G95*1.5)</f>
        <v>6</v>
      </c>
      <c r="M95" s="145">
        <f>+F95*(D95-G95)</f>
        <v>0.21999999999999975</v>
      </c>
      <c r="N95" s="145">
        <f>IF(D95&lt;=19,(D95-G95)*I95,(19-G95)*I95)</f>
        <v>0.0092846565545454</v>
      </c>
      <c r="O95" s="145">
        <f>IF(D95&lt;=19,0,(I95*(D95-19)*2)+((K95)*(D95-19)))</f>
        <v>0</v>
      </c>
      <c r="P95" s="145">
        <f>+(5+F95+(2*(I95+K95)))*H95</f>
        <v>14.337623874710742</v>
      </c>
      <c r="Q95" s="147">
        <f>SUM(M95:P95)</f>
        <v>14.566908531265288</v>
      </c>
      <c r="R95" s="147"/>
      <c r="S95" s="128">
        <f>IF(D$6=1,(PI()*(C95-(2*D95)+(2*G95))*L95*0.1*0.01*7.85*0.001/(S$16*S$17)),0)</f>
        <v>0.01822485022237243</v>
      </c>
      <c r="T95" s="128">
        <f>IF(D$6=1,(PI()*(C95-(0.5*D95))*(Q95)*0.1*0.01*7.85*0.001/(T$16*T$17)),0)</f>
        <v>0.060687692689571325</v>
      </c>
      <c r="U95" s="145">
        <f>IF(D$6=1,0,(PI()*(C95-(2*D95)+(2*G95))*L95*0.1*0.01*7.85*0.001/(U$16*U$17)))</f>
        <v>0</v>
      </c>
      <c r="V95" s="145">
        <f>IF(D$6=1,0,(PI()*(C95-(0.5*D95))*(Q95)*0.1*0.01*7.85*0.001/(V$16*V$17)))</f>
        <v>0</v>
      </c>
      <c r="W95" s="128">
        <f t="shared" si="83"/>
        <v>0</v>
      </c>
    </row>
    <row r="96" spans="1:23" ht="12.75">
      <c r="A96" s="141">
        <f>+'SMAW-SMAW'!A96</f>
        <v>79</v>
      </c>
      <c r="B96" s="142">
        <v>3</v>
      </c>
      <c r="C96" s="143">
        <v>88.9</v>
      </c>
      <c r="D96" s="143">
        <v>3.05</v>
      </c>
      <c r="E96" s="144" t="s">
        <v>84</v>
      </c>
      <c r="F96" s="145">
        <f t="shared" si="0"/>
        <v>2</v>
      </c>
      <c r="G96" s="145">
        <f t="shared" si="69"/>
        <v>2</v>
      </c>
      <c r="H96" s="145">
        <f aca="true" t="shared" si="97" ref="H96:H104">IF(D96&lt;=19,2,3)</f>
        <v>2</v>
      </c>
      <c r="I96" s="146">
        <f aca="true" t="shared" si="98" ref="I96:I104">IF(D96&lt;=19,(D96-G96)*TAN($C$8*PI()/180),(19-G96)*TAN($C$8*PI()/180))</f>
        <v>0.8056933373779083</v>
      </c>
      <c r="J96" s="147"/>
      <c r="K96" s="145">
        <f aca="true" t="shared" si="99" ref="K96:K104">IF(D96&lt;=19,0,(D96-19)*TAN($C$10*PI()/180))</f>
        <v>0</v>
      </c>
      <c r="L96" s="145">
        <f aca="true" t="shared" si="100" ref="L96:L104">+F96*(G96*1.5)</f>
        <v>6</v>
      </c>
      <c r="M96" s="145">
        <f aca="true" t="shared" si="101" ref="M96:M104">+F96*(D96-G96)</f>
        <v>2.0999999999999996</v>
      </c>
      <c r="N96" s="145">
        <f aca="true" t="shared" si="102" ref="N96:N104">IF(D96&lt;=19,(D96-G96)*I96,(19-G96)*I96)</f>
        <v>0.8459780042468036</v>
      </c>
      <c r="O96" s="145">
        <f aca="true" t="shared" si="103" ref="O96:O104">IF(D96&lt;=19,0,(I96*(D96-19)*2)+((K96)*(D96-19)))</f>
        <v>0</v>
      </c>
      <c r="P96" s="145">
        <f aca="true" t="shared" si="104" ref="P96:P104">+(5+F96+(2*(I96+K96)))*H96</f>
        <v>17.222773349511634</v>
      </c>
      <c r="Q96" s="147">
        <f aca="true" t="shared" si="105" ref="Q96:Q104">SUM(M96:P96)</f>
        <v>20.168751353758438</v>
      </c>
      <c r="R96" s="147"/>
      <c r="S96" s="128">
        <f aca="true" t="shared" si="106" ref="S96:S104">IF(D$6=1,(PI()*(C96-(2*D96)+(2*G96))*L96*0.1*0.01*7.85*0.001/(S$16*S$17)),0)</f>
        <v>0.017838486685858444</v>
      </c>
      <c r="T96" s="128">
        <f aca="true" t="shared" si="107" ref="T96:T104">IF(D$6=1,(PI()*(C96-(0.5*D96))*(Q96)*0.1*0.01*7.85*0.001/(T$16*T$17)),0)</f>
        <v>0.08357615486870529</v>
      </c>
      <c r="U96" s="145">
        <f aca="true" t="shared" si="108" ref="U96:U104">IF(D$6=1,0,(PI()*(C96-(2*D96)+(2*G96))*L96*0.1*0.01*7.85*0.001/(U$16*U$17)))</f>
        <v>0</v>
      </c>
      <c r="V96" s="145">
        <f aca="true" t="shared" si="109" ref="V96:V104">IF(D$6=1,0,(PI()*(C96-(0.5*D96))*(Q96)*0.1*0.01*7.85*0.001/(V$16*V$17)))</f>
        <v>0</v>
      </c>
      <c r="W96" s="128">
        <f t="shared" si="83"/>
        <v>0</v>
      </c>
    </row>
    <row r="97" spans="1:23" ht="12.75">
      <c r="A97" s="141">
        <f>+'SMAW-SMAW'!A97</f>
        <v>80</v>
      </c>
      <c r="B97" s="142">
        <v>3</v>
      </c>
      <c r="C97" s="143">
        <v>88.9</v>
      </c>
      <c r="D97" s="143">
        <v>5.49</v>
      </c>
      <c r="E97" s="144" t="s">
        <v>85</v>
      </c>
      <c r="F97" s="145">
        <f t="shared" si="0"/>
        <v>2</v>
      </c>
      <c r="G97" s="145">
        <f t="shared" si="69"/>
        <v>2</v>
      </c>
      <c r="H97" s="145">
        <f t="shared" si="97"/>
        <v>2</v>
      </c>
      <c r="I97" s="146">
        <f t="shared" si="98"/>
        <v>2.677971188046572</v>
      </c>
      <c r="J97" s="147"/>
      <c r="K97" s="145">
        <f t="shared" si="99"/>
        <v>0</v>
      </c>
      <c r="L97" s="145">
        <f t="shared" si="100"/>
        <v>6</v>
      </c>
      <c r="M97" s="145">
        <f t="shared" si="101"/>
        <v>6.98</v>
      </c>
      <c r="N97" s="145">
        <f t="shared" si="102"/>
        <v>9.346119446282536</v>
      </c>
      <c r="O97" s="145">
        <f t="shared" si="103"/>
        <v>0</v>
      </c>
      <c r="P97" s="145">
        <f t="shared" si="104"/>
        <v>24.711884752186286</v>
      </c>
      <c r="Q97" s="147">
        <f t="shared" si="105"/>
        <v>41.038004198468826</v>
      </c>
      <c r="R97" s="147"/>
      <c r="S97" s="128">
        <f t="shared" si="106"/>
        <v>0.01683558559107746</v>
      </c>
      <c r="T97" s="128">
        <f t="shared" si="107"/>
        <v>0.16768063275325015</v>
      </c>
      <c r="U97" s="145">
        <f t="shared" si="108"/>
        <v>0</v>
      </c>
      <c r="V97" s="145">
        <f t="shared" si="109"/>
        <v>0</v>
      </c>
      <c r="W97" s="128">
        <f t="shared" si="83"/>
        <v>0</v>
      </c>
    </row>
    <row r="98" spans="1:23" ht="12.75">
      <c r="A98" s="141">
        <f>+'SMAW-SMAW'!A98</f>
        <v>81</v>
      </c>
      <c r="B98" s="142">
        <v>3</v>
      </c>
      <c r="C98" s="143">
        <v>88.9</v>
      </c>
      <c r="D98" s="143">
        <v>5.49</v>
      </c>
      <c r="E98" s="144" t="s">
        <v>86</v>
      </c>
      <c r="F98" s="145">
        <f t="shared" si="0"/>
        <v>2</v>
      </c>
      <c r="G98" s="145">
        <f t="shared" si="69"/>
        <v>2</v>
      </c>
      <c r="H98" s="145">
        <f t="shared" si="97"/>
        <v>2</v>
      </c>
      <c r="I98" s="146">
        <f t="shared" si="98"/>
        <v>2.677971188046572</v>
      </c>
      <c r="J98" s="147"/>
      <c r="K98" s="145">
        <f t="shared" si="99"/>
        <v>0</v>
      </c>
      <c r="L98" s="145">
        <f t="shared" si="100"/>
        <v>6</v>
      </c>
      <c r="M98" s="145">
        <f t="shared" si="101"/>
        <v>6.98</v>
      </c>
      <c r="N98" s="145">
        <f t="shared" si="102"/>
        <v>9.346119446282536</v>
      </c>
      <c r="O98" s="145">
        <f t="shared" si="103"/>
        <v>0</v>
      </c>
      <c r="P98" s="145">
        <f t="shared" si="104"/>
        <v>24.711884752186286</v>
      </c>
      <c r="Q98" s="147">
        <f t="shared" si="105"/>
        <v>41.038004198468826</v>
      </c>
      <c r="R98" s="147"/>
      <c r="S98" s="128">
        <f t="shared" si="106"/>
        <v>0.01683558559107746</v>
      </c>
      <c r="T98" s="128">
        <f t="shared" si="107"/>
        <v>0.16768063275325015</v>
      </c>
      <c r="U98" s="145">
        <f t="shared" si="108"/>
        <v>0</v>
      </c>
      <c r="V98" s="145">
        <f t="shared" si="109"/>
        <v>0</v>
      </c>
      <c r="W98" s="128">
        <f t="shared" si="83"/>
        <v>0</v>
      </c>
    </row>
    <row r="99" spans="1:23" ht="12.75">
      <c r="A99" s="141">
        <f>+'SMAW-SMAW'!A99</f>
        <v>82</v>
      </c>
      <c r="B99" s="142">
        <v>3</v>
      </c>
      <c r="C99" s="143">
        <v>88.9</v>
      </c>
      <c r="D99" s="143">
        <v>5.49</v>
      </c>
      <c r="E99" s="144" t="s">
        <v>87</v>
      </c>
      <c r="F99" s="145">
        <f t="shared" si="0"/>
        <v>2</v>
      </c>
      <c r="G99" s="145">
        <f t="shared" si="69"/>
        <v>2</v>
      </c>
      <c r="H99" s="145">
        <f t="shared" si="97"/>
        <v>2</v>
      </c>
      <c r="I99" s="146">
        <f t="shared" si="98"/>
        <v>2.677971188046572</v>
      </c>
      <c r="J99" s="147"/>
      <c r="K99" s="145">
        <f t="shared" si="99"/>
        <v>0</v>
      </c>
      <c r="L99" s="145">
        <f t="shared" si="100"/>
        <v>6</v>
      </c>
      <c r="M99" s="145">
        <f t="shared" si="101"/>
        <v>6.98</v>
      </c>
      <c r="N99" s="145">
        <f t="shared" si="102"/>
        <v>9.346119446282536</v>
      </c>
      <c r="O99" s="145">
        <f t="shared" si="103"/>
        <v>0</v>
      </c>
      <c r="P99" s="145">
        <f t="shared" si="104"/>
        <v>24.711884752186286</v>
      </c>
      <c r="Q99" s="147">
        <f t="shared" si="105"/>
        <v>41.038004198468826</v>
      </c>
      <c r="R99" s="147"/>
      <c r="S99" s="128">
        <f t="shared" si="106"/>
        <v>0.01683558559107746</v>
      </c>
      <c r="T99" s="128">
        <f t="shared" si="107"/>
        <v>0.16768063275325015</v>
      </c>
      <c r="U99" s="145">
        <f t="shared" si="108"/>
        <v>0</v>
      </c>
      <c r="V99" s="145">
        <f t="shared" si="109"/>
        <v>0</v>
      </c>
      <c r="W99" s="128">
        <f t="shared" si="83"/>
        <v>0</v>
      </c>
    </row>
    <row r="100" spans="1:23" ht="12.75">
      <c r="A100" s="141">
        <f>+'SMAW-SMAW'!A100</f>
        <v>83</v>
      </c>
      <c r="B100" s="142">
        <v>3</v>
      </c>
      <c r="C100" s="143">
        <v>88.9</v>
      </c>
      <c r="D100" s="143">
        <v>7.62</v>
      </c>
      <c r="E100" s="144" t="s">
        <v>88</v>
      </c>
      <c r="F100" s="145">
        <f t="shared" si="0"/>
        <v>2</v>
      </c>
      <c r="G100" s="145">
        <f t="shared" si="69"/>
        <v>2</v>
      </c>
      <c r="H100" s="145">
        <f t="shared" si="97"/>
        <v>2</v>
      </c>
      <c r="I100" s="146">
        <f t="shared" si="98"/>
        <v>4.312377672441757</v>
      </c>
      <c r="J100" s="147"/>
      <c r="K100" s="145">
        <f t="shared" si="99"/>
        <v>0</v>
      </c>
      <c r="L100" s="145">
        <f t="shared" si="100"/>
        <v>6</v>
      </c>
      <c r="M100" s="145">
        <f t="shared" si="101"/>
        <v>11.24</v>
      </c>
      <c r="N100" s="145">
        <f t="shared" si="102"/>
        <v>24.235562519122674</v>
      </c>
      <c r="O100" s="145">
        <f t="shared" si="103"/>
        <v>0</v>
      </c>
      <c r="P100" s="145">
        <f t="shared" si="104"/>
        <v>31.24951068976703</v>
      </c>
      <c r="Q100" s="147">
        <f t="shared" si="105"/>
        <v>66.72507320888971</v>
      </c>
      <c r="R100" s="147"/>
      <c r="S100" s="128">
        <f t="shared" si="106"/>
        <v>0.015960102258338327</v>
      </c>
      <c r="T100" s="128">
        <f t="shared" si="107"/>
        <v>0.26926739474635697</v>
      </c>
      <c r="U100" s="145">
        <f t="shared" si="108"/>
        <v>0</v>
      </c>
      <c r="V100" s="145">
        <f t="shared" si="109"/>
        <v>0</v>
      </c>
      <c r="W100" s="128">
        <f t="shared" si="83"/>
        <v>0</v>
      </c>
    </row>
    <row r="101" spans="1:23" ht="12.75">
      <c r="A101" s="141">
        <f>+'SMAW-SMAW'!A101</f>
        <v>84</v>
      </c>
      <c r="B101" s="142">
        <v>3</v>
      </c>
      <c r="C101" s="143">
        <v>88.9</v>
      </c>
      <c r="D101" s="143">
        <v>7.62</v>
      </c>
      <c r="E101" s="144" t="s">
        <v>82</v>
      </c>
      <c r="F101" s="145">
        <f t="shared" si="0"/>
        <v>2</v>
      </c>
      <c r="G101" s="145">
        <f t="shared" si="69"/>
        <v>2</v>
      </c>
      <c r="H101" s="145">
        <f t="shared" si="97"/>
        <v>2</v>
      </c>
      <c r="I101" s="146">
        <f t="shared" si="98"/>
        <v>4.312377672441757</v>
      </c>
      <c r="J101" s="147"/>
      <c r="K101" s="145">
        <f t="shared" si="99"/>
        <v>0</v>
      </c>
      <c r="L101" s="145">
        <f t="shared" si="100"/>
        <v>6</v>
      </c>
      <c r="M101" s="145">
        <f t="shared" si="101"/>
        <v>11.24</v>
      </c>
      <c r="N101" s="145">
        <f t="shared" si="102"/>
        <v>24.235562519122674</v>
      </c>
      <c r="O101" s="145">
        <f t="shared" si="103"/>
        <v>0</v>
      </c>
      <c r="P101" s="145">
        <f t="shared" si="104"/>
        <v>31.24951068976703</v>
      </c>
      <c r="Q101" s="147">
        <f t="shared" si="105"/>
        <v>66.72507320888971</v>
      </c>
      <c r="R101" s="147"/>
      <c r="S101" s="128">
        <f t="shared" si="106"/>
        <v>0.015960102258338327</v>
      </c>
      <c r="T101" s="128">
        <f t="shared" si="107"/>
        <v>0.26926739474635697</v>
      </c>
      <c r="U101" s="145">
        <f t="shared" si="108"/>
        <v>0</v>
      </c>
      <c r="V101" s="145">
        <f t="shared" si="109"/>
        <v>0</v>
      </c>
      <c r="W101" s="128">
        <f t="shared" si="83"/>
        <v>0</v>
      </c>
    </row>
    <row r="102" spans="1:23" ht="12.75">
      <c r="A102" s="141">
        <f>+'SMAW-SMAW'!A102</f>
        <v>85</v>
      </c>
      <c r="B102" s="142">
        <v>3</v>
      </c>
      <c r="C102" s="143">
        <v>88.9</v>
      </c>
      <c r="D102" s="143">
        <v>7.62</v>
      </c>
      <c r="E102" s="144" t="s">
        <v>89</v>
      </c>
      <c r="F102" s="145">
        <f t="shared" si="0"/>
        <v>2</v>
      </c>
      <c r="G102" s="145">
        <f t="shared" si="69"/>
        <v>2</v>
      </c>
      <c r="H102" s="145">
        <f t="shared" si="97"/>
        <v>2</v>
      </c>
      <c r="I102" s="146">
        <f t="shared" si="98"/>
        <v>4.312377672441757</v>
      </c>
      <c r="J102" s="147"/>
      <c r="K102" s="145">
        <f t="shared" si="99"/>
        <v>0</v>
      </c>
      <c r="L102" s="145">
        <f t="shared" si="100"/>
        <v>6</v>
      </c>
      <c r="M102" s="145">
        <f t="shared" si="101"/>
        <v>11.24</v>
      </c>
      <c r="N102" s="145">
        <f t="shared" si="102"/>
        <v>24.235562519122674</v>
      </c>
      <c r="O102" s="145">
        <f t="shared" si="103"/>
        <v>0</v>
      </c>
      <c r="P102" s="145">
        <f t="shared" si="104"/>
        <v>31.24951068976703</v>
      </c>
      <c r="Q102" s="147">
        <f t="shared" si="105"/>
        <v>66.72507320888971</v>
      </c>
      <c r="R102" s="147"/>
      <c r="S102" s="128">
        <f t="shared" si="106"/>
        <v>0.015960102258338327</v>
      </c>
      <c r="T102" s="128">
        <f t="shared" si="107"/>
        <v>0.26926739474635697</v>
      </c>
      <c r="U102" s="145">
        <f t="shared" si="108"/>
        <v>0</v>
      </c>
      <c r="V102" s="145">
        <f t="shared" si="109"/>
        <v>0</v>
      </c>
      <c r="W102" s="128">
        <f t="shared" si="83"/>
        <v>0</v>
      </c>
    </row>
    <row r="103" spans="1:23" ht="12.75">
      <c r="A103" s="141">
        <f>+'SMAW-SMAW'!A103</f>
        <v>86</v>
      </c>
      <c r="B103" s="142">
        <v>3</v>
      </c>
      <c r="C103" s="143">
        <v>88.9</v>
      </c>
      <c r="D103" s="143">
        <v>11.13</v>
      </c>
      <c r="E103" s="144" t="s">
        <v>90</v>
      </c>
      <c r="F103" s="145">
        <f t="shared" si="0"/>
        <v>2</v>
      </c>
      <c r="G103" s="145">
        <f t="shared" si="69"/>
        <v>2</v>
      </c>
      <c r="H103" s="145">
        <f t="shared" si="97"/>
        <v>2</v>
      </c>
      <c r="I103" s="146">
        <f t="shared" si="98"/>
        <v>7.005695400247909</v>
      </c>
      <c r="J103" s="147"/>
      <c r="K103" s="145">
        <f t="shared" si="99"/>
        <v>0</v>
      </c>
      <c r="L103" s="145">
        <f t="shared" si="100"/>
        <v>6</v>
      </c>
      <c r="M103" s="145">
        <f t="shared" si="101"/>
        <v>18.26</v>
      </c>
      <c r="N103" s="145">
        <f t="shared" si="102"/>
        <v>63.96199900426341</v>
      </c>
      <c r="O103" s="145">
        <f t="shared" si="103"/>
        <v>0</v>
      </c>
      <c r="P103" s="145">
        <f t="shared" si="104"/>
        <v>42.022781600991635</v>
      </c>
      <c r="Q103" s="147">
        <f t="shared" si="105"/>
        <v>124.24478060525504</v>
      </c>
      <c r="R103" s="147"/>
      <c r="S103" s="128">
        <f t="shared" si="106"/>
        <v>0.014517404371993555</v>
      </c>
      <c r="T103" s="128">
        <f t="shared" si="107"/>
        <v>0.49104554931574307</v>
      </c>
      <c r="U103" s="145">
        <f t="shared" si="108"/>
        <v>0</v>
      </c>
      <c r="V103" s="145">
        <f t="shared" si="109"/>
        <v>0</v>
      </c>
      <c r="W103" s="128">
        <f t="shared" si="83"/>
        <v>0</v>
      </c>
    </row>
    <row r="104" spans="1:23" ht="12.75">
      <c r="A104" s="141">
        <f>+'SMAW-SMAW'!A104</f>
        <v>87</v>
      </c>
      <c r="B104" s="142">
        <v>3</v>
      </c>
      <c r="C104" s="143">
        <v>88.9</v>
      </c>
      <c r="D104" s="143">
        <v>15.241</v>
      </c>
      <c r="E104" s="144" t="s">
        <v>83</v>
      </c>
      <c r="F104" s="145">
        <f t="shared" si="0"/>
        <v>2</v>
      </c>
      <c r="G104" s="145">
        <f t="shared" si="69"/>
        <v>2</v>
      </c>
      <c r="H104" s="145">
        <f t="shared" si="97"/>
        <v>2</v>
      </c>
      <c r="I104" s="146">
        <f t="shared" si="98"/>
        <v>10.160176647829415</v>
      </c>
      <c r="J104" s="147"/>
      <c r="K104" s="145">
        <f t="shared" si="99"/>
        <v>0</v>
      </c>
      <c r="L104" s="145">
        <f t="shared" si="100"/>
        <v>6</v>
      </c>
      <c r="M104" s="145">
        <f t="shared" si="101"/>
        <v>26.482</v>
      </c>
      <c r="N104" s="145">
        <f t="shared" si="102"/>
        <v>134.5308989939093</v>
      </c>
      <c r="O104" s="145">
        <f t="shared" si="103"/>
        <v>0</v>
      </c>
      <c r="P104" s="145">
        <f t="shared" si="104"/>
        <v>54.64070659131766</v>
      </c>
      <c r="Q104" s="147">
        <f t="shared" si="105"/>
        <v>215.65360558522696</v>
      </c>
      <c r="R104" s="147"/>
      <c r="S104" s="128">
        <f t="shared" si="106"/>
        <v>0.01282768043730314</v>
      </c>
      <c r="T104" s="128">
        <f t="shared" si="107"/>
        <v>0.831292634995522</v>
      </c>
      <c r="U104" s="145">
        <f t="shared" si="108"/>
        <v>0</v>
      </c>
      <c r="V104" s="145">
        <f t="shared" si="109"/>
        <v>0</v>
      </c>
      <c r="W104" s="128">
        <f t="shared" si="83"/>
        <v>0</v>
      </c>
    </row>
    <row r="105" spans="1:23" ht="12.75">
      <c r="A105" s="141">
        <f>+'SMAW-SMAW'!A105</f>
        <v>88</v>
      </c>
      <c r="B105" s="142"/>
      <c r="C105" s="143"/>
      <c r="D105" s="143"/>
      <c r="E105" s="144"/>
      <c r="F105" s="145"/>
      <c r="G105" s="145">
        <f t="shared" si="69"/>
        <v>0</v>
      </c>
      <c r="H105" s="145"/>
      <c r="I105" s="146"/>
      <c r="J105" s="147"/>
      <c r="K105" s="145"/>
      <c r="L105" s="145"/>
      <c r="M105" s="145"/>
      <c r="N105" s="145"/>
      <c r="O105" s="145"/>
      <c r="P105" s="145"/>
      <c r="Q105" s="147"/>
      <c r="R105" s="147"/>
      <c r="S105" s="128"/>
      <c r="T105" s="128"/>
      <c r="U105" s="145"/>
      <c r="V105" s="145"/>
      <c r="W105" s="128">
        <f t="shared" si="83"/>
        <v>0</v>
      </c>
    </row>
    <row r="106" spans="1:23" ht="12.75">
      <c r="A106" s="141">
        <f>+'SMAW-SMAW'!A106</f>
        <v>89</v>
      </c>
      <c r="B106" s="142">
        <v>3.5</v>
      </c>
      <c r="C106" s="143">
        <v>101.6</v>
      </c>
      <c r="D106" s="143">
        <v>2.11</v>
      </c>
      <c r="E106" s="144" t="s">
        <v>81</v>
      </c>
      <c r="F106" s="145">
        <f t="shared" si="0"/>
        <v>2</v>
      </c>
      <c r="G106" s="145">
        <f t="shared" si="69"/>
        <v>2</v>
      </c>
      <c r="H106" s="145">
        <f>IF(D106&lt;=19,2,3)</f>
        <v>2</v>
      </c>
      <c r="I106" s="146">
        <f>IF(D106&lt;=19,(D106-G106)*TAN($C$8*PI()/180),(19-G106)*TAN($C$8*PI()/180))</f>
        <v>0.08440596867768554</v>
      </c>
      <c r="J106" s="147"/>
      <c r="K106" s="145">
        <f>IF(D106&lt;=19,0,(D106-19)*TAN($C$10*PI()/180))</f>
        <v>0</v>
      </c>
      <c r="L106" s="145">
        <f>+F106*(G106*1.5)</f>
        <v>6</v>
      </c>
      <c r="M106" s="145">
        <f>+F106*(D106-G106)</f>
        <v>0.21999999999999975</v>
      </c>
      <c r="N106" s="145">
        <f>IF(D106&lt;=19,(D106-G106)*I106,(19-G106)*I106)</f>
        <v>0.0092846565545454</v>
      </c>
      <c r="O106" s="145">
        <f>IF(D106&lt;=19,0,(I106*(D106-19)*2)+((K106)*(D106-19)))</f>
        <v>0</v>
      </c>
      <c r="P106" s="145">
        <f>+(5+F106+(2*(I106+K106)))*H106</f>
        <v>14.337623874710742</v>
      </c>
      <c r="Q106" s="147">
        <f>SUM(M106:P106)</f>
        <v>14.566908531265288</v>
      </c>
      <c r="R106" s="147"/>
      <c r="S106" s="128">
        <f>IF(D$6=1,(PI()*(C106-(2*D106)+(2*G106))*L106*0.1*0.01*7.85*0.001/(S$16*S$17)),0)</f>
        <v>0.020834859219036047</v>
      </c>
      <c r="T106" s="128">
        <f>IF(D$6=1,(PI()*(C106-(0.5*D106))*(Q106)*0.1*0.01*7.85*0.001/(T$16*T$17)),0)</f>
        <v>0.06946148399422791</v>
      </c>
      <c r="U106" s="145">
        <f>IF(D$6=1,0,(PI()*(C106-(2*D106)+(2*G106))*L106*0.1*0.01*7.85*0.001/(U$16*U$17)))</f>
        <v>0</v>
      </c>
      <c r="V106" s="145">
        <f>IF(D$6=1,0,(PI()*(C106-(0.5*D106))*(Q106)*0.1*0.01*7.85*0.001/(V$16*V$17)))</f>
        <v>0</v>
      </c>
      <c r="W106" s="128">
        <f t="shared" si="83"/>
        <v>0</v>
      </c>
    </row>
    <row r="107" spans="1:23" ht="12.75">
      <c r="A107" s="141">
        <f>+'SMAW-SMAW'!A107</f>
        <v>90</v>
      </c>
      <c r="B107" s="142">
        <v>3.5</v>
      </c>
      <c r="C107" s="143">
        <v>101.6</v>
      </c>
      <c r="D107" s="143">
        <v>3.05</v>
      </c>
      <c r="E107" s="144" t="s">
        <v>84</v>
      </c>
      <c r="F107" s="145">
        <f t="shared" si="0"/>
        <v>2</v>
      </c>
      <c r="G107" s="145">
        <f t="shared" si="69"/>
        <v>2</v>
      </c>
      <c r="H107" s="145">
        <f aca="true" t="shared" si="110" ref="H107:H113">IF(D107&lt;=19,2,3)</f>
        <v>2</v>
      </c>
      <c r="I107" s="146">
        <f aca="true" t="shared" si="111" ref="I107:I113">IF(D107&lt;=19,(D107-G107)*TAN($C$8*PI()/180),(19-G107)*TAN($C$8*PI()/180))</f>
        <v>0.8056933373779083</v>
      </c>
      <c r="J107" s="147"/>
      <c r="K107" s="145">
        <f aca="true" t="shared" si="112" ref="K107:K113">IF(D107&lt;=19,0,(D107-19)*TAN($C$10*PI()/180))</f>
        <v>0</v>
      </c>
      <c r="L107" s="145">
        <f aca="true" t="shared" si="113" ref="L107:L113">+F107*(G107*1.5)</f>
        <v>6</v>
      </c>
      <c r="M107" s="145">
        <f aca="true" t="shared" si="114" ref="M107:M113">+F107*(D107-G107)</f>
        <v>2.0999999999999996</v>
      </c>
      <c r="N107" s="145">
        <f aca="true" t="shared" si="115" ref="N107:N113">IF(D107&lt;=19,(D107-G107)*I107,(19-G107)*I107)</f>
        <v>0.8459780042468036</v>
      </c>
      <c r="O107" s="145">
        <f aca="true" t="shared" si="116" ref="O107:O113">IF(D107&lt;=19,0,(I107*(D107-19)*2)+((K107)*(D107-19)))</f>
        <v>0</v>
      </c>
      <c r="P107" s="145">
        <f aca="true" t="shared" si="117" ref="P107:P113">+(5+F107+(2*(I107+K107)))*H107</f>
        <v>17.222773349511634</v>
      </c>
      <c r="Q107" s="147">
        <f aca="true" t="shared" si="118" ref="Q107:Q113">SUM(M107:P107)</f>
        <v>20.168751353758438</v>
      </c>
      <c r="R107" s="147"/>
      <c r="S107" s="128">
        <f aca="true" t="shared" si="119" ref="S107:S113">IF(D$6=1,(PI()*(C107-(2*D107)+(2*G107))*L107*0.1*0.01*7.85*0.001/(S$16*S$17)),0)</f>
        <v>0.020448495682522064</v>
      </c>
      <c r="T107" s="128">
        <f aca="true" t="shared" si="120" ref="T107:T113">IF(D$6=1,(PI()*(C107-(0.5*D107))*(Q107)*0.1*0.01*7.85*0.001/(T$16*T$17)),0)</f>
        <v>0.0957239908267317</v>
      </c>
      <c r="U107" s="145">
        <f aca="true" t="shared" si="121" ref="U107:U113">IF(D$6=1,0,(PI()*(C107-(2*D107)+(2*G107))*L107*0.1*0.01*7.85*0.001/(U$16*U$17)))</f>
        <v>0</v>
      </c>
      <c r="V107" s="145">
        <f aca="true" t="shared" si="122" ref="V107:V113">IF(D$6=1,0,(PI()*(C107-(0.5*D107))*(Q107)*0.1*0.01*7.85*0.001/(V$16*V$17)))</f>
        <v>0</v>
      </c>
      <c r="W107" s="128">
        <f t="shared" si="83"/>
        <v>0</v>
      </c>
    </row>
    <row r="108" spans="1:23" ht="12.75">
      <c r="A108" s="141">
        <f>+'SMAW-SMAW'!A108</f>
        <v>91</v>
      </c>
      <c r="B108" s="142">
        <v>3.5</v>
      </c>
      <c r="C108" s="143">
        <v>101.6</v>
      </c>
      <c r="D108" s="143">
        <v>5.74</v>
      </c>
      <c r="E108" s="144" t="s">
        <v>85</v>
      </c>
      <c r="F108" s="145">
        <f t="shared" si="0"/>
        <v>2</v>
      </c>
      <c r="G108" s="145">
        <f aca="true" t="shared" si="123" ref="G108:G147">IF(D108&lt;2,D108,2)</f>
        <v>2</v>
      </c>
      <c r="H108" s="145">
        <f t="shared" si="110"/>
        <v>2</v>
      </c>
      <c r="I108" s="146">
        <f t="shared" si="111"/>
        <v>2.869802935041312</v>
      </c>
      <c r="J108" s="147"/>
      <c r="K108" s="145">
        <f t="shared" si="112"/>
        <v>0</v>
      </c>
      <c r="L108" s="145">
        <f t="shared" si="113"/>
        <v>6</v>
      </c>
      <c r="M108" s="145">
        <f t="shared" si="114"/>
        <v>7.48</v>
      </c>
      <c r="N108" s="145">
        <f t="shared" si="115"/>
        <v>10.733062977054507</v>
      </c>
      <c r="O108" s="145">
        <f t="shared" si="116"/>
        <v>0</v>
      </c>
      <c r="P108" s="145">
        <f t="shared" si="117"/>
        <v>25.479211740165248</v>
      </c>
      <c r="Q108" s="147">
        <f t="shared" si="118"/>
        <v>43.69227471721975</v>
      </c>
      <c r="R108" s="147"/>
      <c r="S108" s="128">
        <f t="shared" si="119"/>
        <v>0.019342838328029913</v>
      </c>
      <c r="T108" s="128">
        <f t="shared" si="120"/>
        <v>0.20458320522304294</v>
      </c>
      <c r="U108" s="145">
        <f t="shared" si="121"/>
        <v>0</v>
      </c>
      <c r="V108" s="145">
        <f t="shared" si="122"/>
        <v>0</v>
      </c>
      <c r="W108" s="128">
        <f t="shared" si="83"/>
        <v>0</v>
      </c>
    </row>
    <row r="109" spans="1:23" ht="12.75">
      <c r="A109" s="141">
        <f>+'SMAW-SMAW'!A109</f>
        <v>92</v>
      </c>
      <c r="B109" s="142">
        <v>3.5</v>
      </c>
      <c r="C109" s="143">
        <v>101.6</v>
      </c>
      <c r="D109" s="143">
        <v>5.74</v>
      </c>
      <c r="E109" s="144" t="s">
        <v>86</v>
      </c>
      <c r="F109" s="145">
        <f t="shared" si="0"/>
        <v>2</v>
      </c>
      <c r="G109" s="145">
        <f t="shared" si="123"/>
        <v>2</v>
      </c>
      <c r="H109" s="145">
        <f t="shared" si="110"/>
        <v>2</v>
      </c>
      <c r="I109" s="146">
        <f t="shared" si="111"/>
        <v>2.869802935041312</v>
      </c>
      <c r="J109" s="147"/>
      <c r="K109" s="145">
        <f t="shared" si="112"/>
        <v>0</v>
      </c>
      <c r="L109" s="145">
        <f t="shared" si="113"/>
        <v>6</v>
      </c>
      <c r="M109" s="145">
        <f t="shared" si="114"/>
        <v>7.48</v>
      </c>
      <c r="N109" s="145">
        <f t="shared" si="115"/>
        <v>10.733062977054507</v>
      </c>
      <c r="O109" s="145">
        <f t="shared" si="116"/>
        <v>0</v>
      </c>
      <c r="P109" s="145">
        <f t="shared" si="117"/>
        <v>25.479211740165248</v>
      </c>
      <c r="Q109" s="147">
        <f t="shared" si="118"/>
        <v>43.69227471721975</v>
      </c>
      <c r="R109" s="147"/>
      <c r="S109" s="128">
        <f t="shared" si="119"/>
        <v>0.019342838328029913</v>
      </c>
      <c r="T109" s="128">
        <f t="shared" si="120"/>
        <v>0.20458320522304294</v>
      </c>
      <c r="U109" s="145">
        <f t="shared" si="121"/>
        <v>0</v>
      </c>
      <c r="V109" s="145">
        <f t="shared" si="122"/>
        <v>0</v>
      </c>
      <c r="W109" s="128">
        <f t="shared" si="83"/>
        <v>0</v>
      </c>
    </row>
    <row r="110" spans="1:23" ht="12.75">
      <c r="A110" s="141">
        <f>+'SMAW-SMAW'!A110</f>
        <v>93</v>
      </c>
      <c r="B110" s="142">
        <v>3.5</v>
      </c>
      <c r="C110" s="143">
        <v>101.6</v>
      </c>
      <c r="D110" s="143">
        <v>5.74</v>
      </c>
      <c r="E110" s="144" t="s">
        <v>87</v>
      </c>
      <c r="F110" s="145">
        <f t="shared" si="0"/>
        <v>2</v>
      </c>
      <c r="G110" s="145">
        <f t="shared" si="123"/>
        <v>2</v>
      </c>
      <c r="H110" s="145">
        <f t="shared" si="110"/>
        <v>2</v>
      </c>
      <c r="I110" s="146">
        <f t="shared" si="111"/>
        <v>2.869802935041312</v>
      </c>
      <c r="J110" s="147"/>
      <c r="K110" s="145">
        <f t="shared" si="112"/>
        <v>0</v>
      </c>
      <c r="L110" s="145">
        <f t="shared" si="113"/>
        <v>6</v>
      </c>
      <c r="M110" s="145">
        <f t="shared" si="114"/>
        <v>7.48</v>
      </c>
      <c r="N110" s="145">
        <f t="shared" si="115"/>
        <v>10.733062977054507</v>
      </c>
      <c r="O110" s="145">
        <f t="shared" si="116"/>
        <v>0</v>
      </c>
      <c r="P110" s="145">
        <f t="shared" si="117"/>
        <v>25.479211740165248</v>
      </c>
      <c r="Q110" s="147">
        <f t="shared" si="118"/>
        <v>43.69227471721975</v>
      </c>
      <c r="R110" s="147"/>
      <c r="S110" s="128">
        <f t="shared" si="119"/>
        <v>0.019342838328029913</v>
      </c>
      <c r="T110" s="128">
        <f t="shared" si="120"/>
        <v>0.20458320522304294</v>
      </c>
      <c r="U110" s="145">
        <f t="shared" si="121"/>
        <v>0</v>
      </c>
      <c r="V110" s="145">
        <f t="shared" si="122"/>
        <v>0</v>
      </c>
      <c r="W110" s="128">
        <f t="shared" si="83"/>
        <v>0</v>
      </c>
    </row>
    <row r="111" spans="1:23" ht="12.75">
      <c r="A111" s="141">
        <f>+'SMAW-SMAW'!A111</f>
        <v>94</v>
      </c>
      <c r="B111" s="142">
        <v>3.5</v>
      </c>
      <c r="C111" s="143">
        <v>101.6</v>
      </c>
      <c r="D111" s="143">
        <v>8.08</v>
      </c>
      <c r="E111" s="144" t="s">
        <v>88</v>
      </c>
      <c r="F111" s="145">
        <f t="shared" si="0"/>
        <v>2</v>
      </c>
      <c r="G111" s="145">
        <f t="shared" si="123"/>
        <v>2</v>
      </c>
      <c r="H111" s="145">
        <f t="shared" si="110"/>
        <v>2</v>
      </c>
      <c r="I111" s="146">
        <f t="shared" si="111"/>
        <v>4.665348086912079</v>
      </c>
      <c r="J111" s="147"/>
      <c r="K111" s="145">
        <f t="shared" si="112"/>
        <v>0</v>
      </c>
      <c r="L111" s="145">
        <f t="shared" si="113"/>
        <v>6</v>
      </c>
      <c r="M111" s="145">
        <f t="shared" si="114"/>
        <v>12.16</v>
      </c>
      <c r="N111" s="145">
        <f t="shared" si="115"/>
        <v>28.365316368425443</v>
      </c>
      <c r="O111" s="145">
        <f t="shared" si="116"/>
        <v>0</v>
      </c>
      <c r="P111" s="145">
        <f t="shared" si="117"/>
        <v>32.66139234764832</v>
      </c>
      <c r="Q111" s="147">
        <f t="shared" si="118"/>
        <v>73.18670871607375</v>
      </c>
      <c r="R111" s="147"/>
      <c r="S111" s="128">
        <f t="shared" si="119"/>
        <v>0.018381039737133398</v>
      </c>
      <c r="T111" s="128">
        <f t="shared" si="120"/>
        <v>0.33862591719218876</v>
      </c>
      <c r="U111" s="145">
        <f t="shared" si="121"/>
        <v>0</v>
      </c>
      <c r="V111" s="145">
        <f t="shared" si="122"/>
        <v>0</v>
      </c>
      <c r="W111" s="128">
        <f t="shared" si="83"/>
        <v>0</v>
      </c>
    </row>
    <row r="112" spans="1:23" ht="12.75">
      <c r="A112" s="141">
        <f>+'SMAW-SMAW'!A112</f>
        <v>95</v>
      </c>
      <c r="B112" s="142">
        <v>3.5</v>
      </c>
      <c r="C112" s="143">
        <v>101.6</v>
      </c>
      <c r="D112" s="143">
        <v>8.08</v>
      </c>
      <c r="E112" s="144" t="s">
        <v>82</v>
      </c>
      <c r="F112" s="145">
        <f t="shared" si="0"/>
        <v>2</v>
      </c>
      <c r="G112" s="145">
        <f t="shared" si="123"/>
        <v>2</v>
      </c>
      <c r="H112" s="145">
        <f t="shared" si="110"/>
        <v>2</v>
      </c>
      <c r="I112" s="146">
        <f t="shared" si="111"/>
        <v>4.665348086912079</v>
      </c>
      <c r="J112" s="147"/>
      <c r="K112" s="145">
        <f t="shared" si="112"/>
        <v>0</v>
      </c>
      <c r="L112" s="145">
        <f t="shared" si="113"/>
        <v>6</v>
      </c>
      <c r="M112" s="145">
        <f t="shared" si="114"/>
        <v>12.16</v>
      </c>
      <c r="N112" s="145">
        <f t="shared" si="115"/>
        <v>28.365316368425443</v>
      </c>
      <c r="O112" s="145">
        <f t="shared" si="116"/>
        <v>0</v>
      </c>
      <c r="P112" s="145">
        <f t="shared" si="117"/>
        <v>32.66139234764832</v>
      </c>
      <c r="Q112" s="147">
        <f t="shared" si="118"/>
        <v>73.18670871607375</v>
      </c>
      <c r="R112" s="147"/>
      <c r="S112" s="128">
        <f t="shared" si="119"/>
        <v>0.018381039737133398</v>
      </c>
      <c r="T112" s="128">
        <f t="shared" si="120"/>
        <v>0.33862591719218876</v>
      </c>
      <c r="U112" s="145">
        <f t="shared" si="121"/>
        <v>0</v>
      </c>
      <c r="V112" s="145">
        <f t="shared" si="122"/>
        <v>0</v>
      </c>
      <c r="W112" s="128">
        <f t="shared" si="83"/>
        <v>0</v>
      </c>
    </row>
    <row r="113" spans="1:23" ht="12.75">
      <c r="A113" s="141">
        <f>+'SMAW-SMAW'!A113</f>
        <v>96</v>
      </c>
      <c r="B113" s="142">
        <v>3.5</v>
      </c>
      <c r="C113" s="143">
        <v>101.6</v>
      </c>
      <c r="D113" s="143">
        <v>8.08</v>
      </c>
      <c r="E113" s="144" t="s">
        <v>89</v>
      </c>
      <c r="F113" s="145">
        <f t="shared" si="0"/>
        <v>2</v>
      </c>
      <c r="G113" s="145">
        <f t="shared" si="123"/>
        <v>2</v>
      </c>
      <c r="H113" s="145">
        <f t="shared" si="110"/>
        <v>2</v>
      </c>
      <c r="I113" s="146">
        <f t="shared" si="111"/>
        <v>4.665348086912079</v>
      </c>
      <c r="J113" s="147"/>
      <c r="K113" s="145">
        <f t="shared" si="112"/>
        <v>0</v>
      </c>
      <c r="L113" s="145">
        <f t="shared" si="113"/>
        <v>6</v>
      </c>
      <c r="M113" s="145">
        <f t="shared" si="114"/>
        <v>12.16</v>
      </c>
      <c r="N113" s="145">
        <f t="shared" si="115"/>
        <v>28.365316368425443</v>
      </c>
      <c r="O113" s="145">
        <f t="shared" si="116"/>
        <v>0</v>
      </c>
      <c r="P113" s="145">
        <f t="shared" si="117"/>
        <v>32.66139234764832</v>
      </c>
      <c r="Q113" s="147">
        <f t="shared" si="118"/>
        <v>73.18670871607375</v>
      </c>
      <c r="R113" s="147"/>
      <c r="S113" s="128">
        <f t="shared" si="119"/>
        <v>0.018381039737133398</v>
      </c>
      <c r="T113" s="128">
        <f t="shared" si="120"/>
        <v>0.33862591719218876</v>
      </c>
      <c r="U113" s="145">
        <f t="shared" si="121"/>
        <v>0</v>
      </c>
      <c r="V113" s="145">
        <f t="shared" si="122"/>
        <v>0</v>
      </c>
      <c r="W113" s="128">
        <f t="shared" si="83"/>
        <v>0</v>
      </c>
    </row>
    <row r="114" spans="1:23" ht="12.75">
      <c r="A114" s="141">
        <f>+'SMAW-SMAW'!A114</f>
        <v>97</v>
      </c>
      <c r="B114" s="142"/>
      <c r="C114" s="143"/>
      <c r="D114" s="143"/>
      <c r="E114" s="144"/>
      <c r="F114" s="145"/>
      <c r="G114" s="145">
        <f t="shared" si="123"/>
        <v>0</v>
      </c>
      <c r="H114" s="145"/>
      <c r="I114" s="146"/>
      <c r="J114" s="147"/>
      <c r="K114" s="145"/>
      <c r="L114" s="145"/>
      <c r="M114" s="145"/>
      <c r="N114" s="145"/>
      <c r="O114" s="145"/>
      <c r="P114" s="145"/>
      <c r="Q114" s="147"/>
      <c r="R114" s="147"/>
      <c r="S114" s="128"/>
      <c r="T114" s="128"/>
      <c r="U114" s="145"/>
      <c r="V114" s="145"/>
      <c r="W114" s="128">
        <f t="shared" si="83"/>
        <v>0</v>
      </c>
    </row>
    <row r="115" spans="1:23" ht="12.75">
      <c r="A115" s="141">
        <f>+'SMAW-SMAW'!A115</f>
        <v>98</v>
      </c>
      <c r="B115" s="142">
        <v>4</v>
      </c>
      <c r="C115" s="143">
        <v>114.3</v>
      </c>
      <c r="D115" s="143">
        <v>2.11</v>
      </c>
      <c r="E115" s="144" t="s">
        <v>81</v>
      </c>
      <c r="F115" s="145">
        <f t="shared" si="0"/>
        <v>2</v>
      </c>
      <c r="G115" s="145">
        <f t="shared" si="123"/>
        <v>2</v>
      </c>
      <c r="H115" s="145">
        <f>IF(D115&lt;=19,2,3)</f>
        <v>2</v>
      </c>
      <c r="I115" s="146">
        <f>IF(D115&lt;=19,(D115-G115)*TAN($C$8*PI()/180),(19-G115)*TAN($C$8*PI()/180))</f>
        <v>0.08440596867768554</v>
      </c>
      <c r="J115" s="147"/>
      <c r="K115" s="145">
        <f>IF(D115&lt;=19,0,(D115-19)*TAN($C$10*PI()/180))</f>
        <v>0</v>
      </c>
      <c r="L115" s="145">
        <f>+F115*(G115*1.5)</f>
        <v>6</v>
      </c>
      <c r="M115" s="145">
        <f>+F115*(D115-G115)</f>
        <v>0.21999999999999975</v>
      </c>
      <c r="N115" s="145">
        <f>IF(D115&lt;=19,(D115-G115)*I115,(19-G115)*I115)</f>
        <v>0.0092846565545454</v>
      </c>
      <c r="O115" s="145">
        <f>IF(D115&lt;=19,0,(I115*(D115-19)*2)+((K115)*(D115-19)))</f>
        <v>0</v>
      </c>
      <c r="P115" s="145">
        <f>+(5+F115+(2*(I115+K115)))*H115</f>
        <v>14.337623874710742</v>
      </c>
      <c r="Q115" s="147">
        <f>SUM(M115:P115)</f>
        <v>14.566908531265288</v>
      </c>
      <c r="R115" s="147"/>
      <c r="S115" s="128">
        <f>IF(D$6=1,(PI()*(C115-(2*D115)+(2*G115))*L115*0.1*0.01*7.85*0.001/(S$16*S$17)),0)</f>
        <v>0.023444868215699667</v>
      </c>
      <c r="T115" s="128">
        <f>IF(D$6=1,(PI()*(C115-(0.5*D115))*(Q115)*0.1*0.01*7.85*0.001/(T$16*T$17)),0)</f>
        <v>0.07823527529888447</v>
      </c>
      <c r="U115" s="145">
        <f>IF(D$6=1,0,(PI()*(C115-(2*D115)+(2*G115))*L115*0.1*0.01*7.85*0.001/(U$16*U$17)))</f>
        <v>0</v>
      </c>
      <c r="V115" s="145">
        <f>IF(D$6=1,0,(PI()*(C115-(0.5*D115))*(Q115)*0.1*0.01*7.85*0.001/(V$16*V$17)))</f>
        <v>0</v>
      </c>
      <c r="W115" s="128">
        <f t="shared" si="83"/>
        <v>0</v>
      </c>
    </row>
    <row r="116" spans="1:23" ht="12.75">
      <c r="A116" s="141">
        <f>+'SMAW-SMAW'!A116</f>
        <v>99</v>
      </c>
      <c r="B116" s="142">
        <v>4</v>
      </c>
      <c r="C116" s="143">
        <v>114.3</v>
      </c>
      <c r="D116" s="143">
        <v>3.05</v>
      </c>
      <c r="E116" s="144" t="s">
        <v>84</v>
      </c>
      <c r="F116" s="145">
        <f t="shared" si="0"/>
        <v>2</v>
      </c>
      <c r="G116" s="145">
        <f t="shared" si="123"/>
        <v>2</v>
      </c>
      <c r="H116" s="145">
        <f aca="true" t="shared" si="124" ref="H116:H125">IF(D116&lt;=19,2,3)</f>
        <v>2</v>
      </c>
      <c r="I116" s="146">
        <f aca="true" t="shared" si="125" ref="I116:I125">IF(D116&lt;=19,(D116-G116)*TAN($C$8*PI()/180),(19-G116)*TAN($C$8*PI()/180))</f>
        <v>0.8056933373779083</v>
      </c>
      <c r="J116" s="147"/>
      <c r="K116" s="145">
        <f aca="true" t="shared" si="126" ref="K116:K125">IF(D116&lt;=19,0,(D116-19)*TAN($C$10*PI()/180))</f>
        <v>0</v>
      </c>
      <c r="L116" s="145">
        <f aca="true" t="shared" si="127" ref="L116:L125">+F116*(G116*1.5)</f>
        <v>6</v>
      </c>
      <c r="M116" s="145">
        <f aca="true" t="shared" si="128" ref="M116:M125">+F116*(D116-G116)</f>
        <v>2.0999999999999996</v>
      </c>
      <c r="N116" s="145">
        <f aca="true" t="shared" si="129" ref="N116:N125">IF(D116&lt;=19,(D116-G116)*I116,(19-G116)*I116)</f>
        <v>0.8459780042468036</v>
      </c>
      <c r="O116" s="145">
        <f aca="true" t="shared" si="130" ref="O116:O125">IF(D116&lt;=19,0,(I116*(D116-19)*2)+((K116)*(D116-19)))</f>
        <v>0</v>
      </c>
      <c r="P116" s="145">
        <f aca="true" t="shared" si="131" ref="P116:P125">+(5+F116+(2*(I116+K116)))*H116</f>
        <v>17.222773349511634</v>
      </c>
      <c r="Q116" s="147">
        <f aca="true" t="shared" si="132" ref="Q116:Q125">SUM(M116:P116)</f>
        <v>20.168751353758438</v>
      </c>
      <c r="R116" s="147"/>
      <c r="S116" s="128">
        <f aca="true" t="shared" si="133" ref="S116:S125">IF(D$6=1,(PI()*(C116-(2*D116)+(2*G116))*L116*0.1*0.01*7.85*0.001/(S$16*S$17)),0)</f>
        <v>0.023058504679185684</v>
      </c>
      <c r="T116" s="128">
        <f aca="true" t="shared" si="134" ref="T116:T125">IF(D$6=1,(PI()*(C116-(0.5*D116))*(Q116)*0.1*0.01*7.85*0.001/(T$16*T$17)),0)</f>
        <v>0.10787182678475811</v>
      </c>
      <c r="U116" s="145">
        <f aca="true" t="shared" si="135" ref="U116:U125">IF(D$6=1,0,(PI()*(C116-(2*D116)+(2*G116))*L116*0.1*0.01*7.85*0.001/(U$16*U$17)))</f>
        <v>0</v>
      </c>
      <c r="V116" s="145">
        <f aca="true" t="shared" si="136" ref="V116:V125">IF(D$6=1,0,(PI()*(C116-(0.5*D116))*(Q116)*0.1*0.01*7.85*0.001/(V$16*V$17)))</f>
        <v>0</v>
      </c>
      <c r="W116" s="128">
        <f t="shared" si="83"/>
        <v>0</v>
      </c>
    </row>
    <row r="117" spans="1:23" ht="12.75">
      <c r="A117" s="141">
        <f>+'SMAW-SMAW'!A117</f>
        <v>100</v>
      </c>
      <c r="B117" s="142">
        <v>4</v>
      </c>
      <c r="C117" s="143">
        <v>114.3</v>
      </c>
      <c r="D117" s="143">
        <v>6.02</v>
      </c>
      <c r="E117" s="144" t="s">
        <v>85</v>
      </c>
      <c r="F117" s="145">
        <f t="shared" si="0"/>
        <v>2</v>
      </c>
      <c r="G117" s="145">
        <f t="shared" si="123"/>
        <v>2</v>
      </c>
      <c r="H117" s="145">
        <f t="shared" si="124"/>
        <v>2</v>
      </c>
      <c r="I117" s="146">
        <f t="shared" si="125"/>
        <v>3.0846544916754204</v>
      </c>
      <c r="J117" s="147"/>
      <c r="K117" s="145">
        <f t="shared" si="126"/>
        <v>0</v>
      </c>
      <c r="L117" s="145">
        <f t="shared" si="127"/>
        <v>6</v>
      </c>
      <c r="M117" s="145">
        <f t="shared" si="128"/>
        <v>8.04</v>
      </c>
      <c r="N117" s="145">
        <f t="shared" si="129"/>
        <v>12.40031105653519</v>
      </c>
      <c r="O117" s="145">
        <f t="shared" si="130"/>
        <v>0</v>
      </c>
      <c r="P117" s="145">
        <f t="shared" si="131"/>
        <v>26.338617966701683</v>
      </c>
      <c r="Q117" s="147">
        <f t="shared" si="132"/>
        <v>46.77892902323687</v>
      </c>
      <c r="R117" s="147"/>
      <c r="S117" s="128">
        <f t="shared" si="133"/>
        <v>0.02183776031381703</v>
      </c>
      <c r="T117" s="128">
        <f t="shared" si="134"/>
        <v>0.24690086012550197</v>
      </c>
      <c r="U117" s="145">
        <f t="shared" si="135"/>
        <v>0</v>
      </c>
      <c r="V117" s="145">
        <f t="shared" si="136"/>
        <v>0</v>
      </c>
      <c r="W117" s="128">
        <f t="shared" si="83"/>
        <v>0</v>
      </c>
    </row>
    <row r="118" spans="1:23" ht="12.75">
      <c r="A118" s="141">
        <f>+'SMAW-SMAW'!A118</f>
        <v>101</v>
      </c>
      <c r="B118" s="142">
        <v>4</v>
      </c>
      <c r="C118" s="143">
        <v>114.3</v>
      </c>
      <c r="D118" s="143">
        <v>6.02</v>
      </c>
      <c r="E118" s="144" t="s">
        <v>86</v>
      </c>
      <c r="F118" s="145">
        <f t="shared" si="0"/>
        <v>2</v>
      </c>
      <c r="G118" s="145">
        <f t="shared" si="123"/>
        <v>2</v>
      </c>
      <c r="H118" s="145">
        <f t="shared" si="124"/>
        <v>2</v>
      </c>
      <c r="I118" s="146">
        <f t="shared" si="125"/>
        <v>3.0846544916754204</v>
      </c>
      <c r="J118" s="147"/>
      <c r="K118" s="145">
        <f t="shared" si="126"/>
        <v>0</v>
      </c>
      <c r="L118" s="145">
        <f t="shared" si="127"/>
        <v>6</v>
      </c>
      <c r="M118" s="145">
        <f t="shared" si="128"/>
        <v>8.04</v>
      </c>
      <c r="N118" s="145">
        <f t="shared" si="129"/>
        <v>12.40031105653519</v>
      </c>
      <c r="O118" s="145">
        <f t="shared" si="130"/>
        <v>0</v>
      </c>
      <c r="P118" s="145">
        <f t="shared" si="131"/>
        <v>26.338617966701683</v>
      </c>
      <c r="Q118" s="147">
        <f t="shared" si="132"/>
        <v>46.77892902323687</v>
      </c>
      <c r="R118" s="147"/>
      <c r="S118" s="128">
        <f t="shared" si="133"/>
        <v>0.02183776031381703</v>
      </c>
      <c r="T118" s="128">
        <f t="shared" si="134"/>
        <v>0.24690086012550197</v>
      </c>
      <c r="U118" s="145">
        <f t="shared" si="135"/>
        <v>0</v>
      </c>
      <c r="V118" s="145">
        <f t="shared" si="136"/>
        <v>0</v>
      </c>
      <c r="W118" s="128">
        <f t="shared" si="83"/>
        <v>0</v>
      </c>
    </row>
    <row r="119" spans="1:23" ht="12.75">
      <c r="A119" s="141">
        <f>+'SMAW-SMAW'!A119</f>
        <v>102</v>
      </c>
      <c r="B119" s="142">
        <v>4</v>
      </c>
      <c r="C119" s="143">
        <v>114.3</v>
      </c>
      <c r="D119" s="143">
        <v>6.02</v>
      </c>
      <c r="E119" s="144" t="s">
        <v>87</v>
      </c>
      <c r="F119" s="145">
        <f t="shared" si="0"/>
        <v>2</v>
      </c>
      <c r="G119" s="145">
        <f t="shared" si="123"/>
        <v>2</v>
      </c>
      <c r="H119" s="145">
        <f t="shared" si="124"/>
        <v>2</v>
      </c>
      <c r="I119" s="146">
        <f t="shared" si="125"/>
        <v>3.0846544916754204</v>
      </c>
      <c r="J119" s="147"/>
      <c r="K119" s="145">
        <f t="shared" si="126"/>
        <v>0</v>
      </c>
      <c r="L119" s="145">
        <f t="shared" si="127"/>
        <v>6</v>
      </c>
      <c r="M119" s="145">
        <f t="shared" si="128"/>
        <v>8.04</v>
      </c>
      <c r="N119" s="145">
        <f t="shared" si="129"/>
        <v>12.40031105653519</v>
      </c>
      <c r="O119" s="145">
        <f t="shared" si="130"/>
        <v>0</v>
      </c>
      <c r="P119" s="145">
        <f t="shared" si="131"/>
        <v>26.338617966701683</v>
      </c>
      <c r="Q119" s="147">
        <f t="shared" si="132"/>
        <v>46.77892902323687</v>
      </c>
      <c r="R119" s="147"/>
      <c r="S119" s="128">
        <f t="shared" si="133"/>
        <v>0.02183776031381703</v>
      </c>
      <c r="T119" s="128">
        <f t="shared" si="134"/>
        <v>0.24690086012550197</v>
      </c>
      <c r="U119" s="145">
        <f t="shared" si="135"/>
        <v>0</v>
      </c>
      <c r="V119" s="145">
        <f t="shared" si="136"/>
        <v>0</v>
      </c>
      <c r="W119" s="128">
        <f t="shared" si="83"/>
        <v>0</v>
      </c>
    </row>
    <row r="120" spans="1:23" ht="12.75">
      <c r="A120" s="141">
        <f>+'SMAW-SMAW'!A120</f>
        <v>103</v>
      </c>
      <c r="B120" s="142">
        <v>4</v>
      </c>
      <c r="C120" s="143">
        <v>114.3</v>
      </c>
      <c r="D120" s="143">
        <v>8.56</v>
      </c>
      <c r="E120" s="144" t="s">
        <v>88</v>
      </c>
      <c r="F120" s="145">
        <f t="shared" si="0"/>
        <v>2</v>
      </c>
      <c r="G120" s="145">
        <f t="shared" si="123"/>
        <v>2</v>
      </c>
      <c r="H120" s="145">
        <f t="shared" si="124"/>
        <v>2</v>
      </c>
      <c r="I120" s="146">
        <f t="shared" si="125"/>
        <v>5.0336650411419805</v>
      </c>
      <c r="J120" s="147"/>
      <c r="K120" s="145">
        <f t="shared" si="126"/>
        <v>0</v>
      </c>
      <c r="L120" s="145">
        <f t="shared" si="127"/>
        <v>6</v>
      </c>
      <c r="M120" s="145">
        <f t="shared" si="128"/>
        <v>13.120000000000001</v>
      </c>
      <c r="N120" s="145">
        <f t="shared" si="129"/>
        <v>33.020842669891394</v>
      </c>
      <c r="O120" s="145">
        <f t="shared" si="130"/>
        <v>0</v>
      </c>
      <c r="P120" s="145">
        <f t="shared" si="131"/>
        <v>34.13466016456792</v>
      </c>
      <c r="Q120" s="147">
        <f t="shared" si="132"/>
        <v>80.27550283445932</v>
      </c>
      <c r="R120" s="147"/>
      <c r="S120" s="128">
        <f t="shared" si="133"/>
        <v>0.02079375671515158</v>
      </c>
      <c r="T120" s="128">
        <f t="shared" si="134"/>
        <v>0.41886190253334976</v>
      </c>
      <c r="U120" s="145">
        <f t="shared" si="135"/>
        <v>0</v>
      </c>
      <c r="V120" s="145">
        <f t="shared" si="136"/>
        <v>0</v>
      </c>
      <c r="W120" s="128">
        <f t="shared" si="83"/>
        <v>0</v>
      </c>
    </row>
    <row r="121" spans="1:23" ht="12.75">
      <c r="A121" s="141">
        <f>+'SMAW-SMAW'!A121</f>
        <v>104</v>
      </c>
      <c r="B121" s="142">
        <v>4</v>
      </c>
      <c r="C121" s="143">
        <v>114.3</v>
      </c>
      <c r="D121" s="143">
        <v>8.56</v>
      </c>
      <c r="E121" s="144" t="s">
        <v>82</v>
      </c>
      <c r="F121" s="145">
        <f t="shared" si="0"/>
        <v>2</v>
      </c>
      <c r="G121" s="145">
        <f t="shared" si="123"/>
        <v>2</v>
      </c>
      <c r="H121" s="145">
        <f t="shared" si="124"/>
        <v>2</v>
      </c>
      <c r="I121" s="146">
        <f t="shared" si="125"/>
        <v>5.0336650411419805</v>
      </c>
      <c r="J121" s="147"/>
      <c r="K121" s="145">
        <f t="shared" si="126"/>
        <v>0</v>
      </c>
      <c r="L121" s="145">
        <f t="shared" si="127"/>
        <v>6</v>
      </c>
      <c r="M121" s="145">
        <f t="shared" si="128"/>
        <v>13.120000000000001</v>
      </c>
      <c r="N121" s="145">
        <f t="shared" si="129"/>
        <v>33.020842669891394</v>
      </c>
      <c r="O121" s="145">
        <f t="shared" si="130"/>
        <v>0</v>
      </c>
      <c r="P121" s="145">
        <f t="shared" si="131"/>
        <v>34.13466016456792</v>
      </c>
      <c r="Q121" s="147">
        <f t="shared" si="132"/>
        <v>80.27550283445932</v>
      </c>
      <c r="R121" s="147"/>
      <c r="S121" s="128">
        <f t="shared" si="133"/>
        <v>0.02079375671515158</v>
      </c>
      <c r="T121" s="128">
        <f t="shared" si="134"/>
        <v>0.41886190253334976</v>
      </c>
      <c r="U121" s="145">
        <f t="shared" si="135"/>
        <v>0</v>
      </c>
      <c r="V121" s="145">
        <f t="shared" si="136"/>
        <v>0</v>
      </c>
      <c r="W121" s="128">
        <f t="shared" si="83"/>
        <v>0</v>
      </c>
    </row>
    <row r="122" spans="1:23" ht="12.75">
      <c r="A122" s="141">
        <f>+'SMAW-SMAW'!A122</f>
        <v>105</v>
      </c>
      <c r="B122" s="142">
        <v>4</v>
      </c>
      <c r="C122" s="143">
        <v>114.3</v>
      </c>
      <c r="D122" s="143">
        <v>8.56</v>
      </c>
      <c r="E122" s="144" t="s">
        <v>89</v>
      </c>
      <c r="F122" s="145">
        <f t="shared" si="0"/>
        <v>2</v>
      </c>
      <c r="G122" s="145">
        <f t="shared" si="123"/>
        <v>2</v>
      </c>
      <c r="H122" s="145">
        <f t="shared" si="124"/>
        <v>2</v>
      </c>
      <c r="I122" s="146">
        <f t="shared" si="125"/>
        <v>5.0336650411419805</v>
      </c>
      <c r="J122" s="147"/>
      <c r="K122" s="145">
        <f t="shared" si="126"/>
        <v>0</v>
      </c>
      <c r="L122" s="145">
        <f t="shared" si="127"/>
        <v>6</v>
      </c>
      <c r="M122" s="145">
        <f t="shared" si="128"/>
        <v>13.120000000000001</v>
      </c>
      <c r="N122" s="145">
        <f t="shared" si="129"/>
        <v>33.020842669891394</v>
      </c>
      <c r="O122" s="145">
        <f t="shared" si="130"/>
        <v>0</v>
      </c>
      <c r="P122" s="145">
        <f t="shared" si="131"/>
        <v>34.13466016456792</v>
      </c>
      <c r="Q122" s="147">
        <f t="shared" si="132"/>
        <v>80.27550283445932</v>
      </c>
      <c r="R122" s="147"/>
      <c r="S122" s="128">
        <f t="shared" si="133"/>
        <v>0.02079375671515158</v>
      </c>
      <c r="T122" s="128">
        <f t="shared" si="134"/>
        <v>0.41886190253334976</v>
      </c>
      <c r="U122" s="145">
        <f t="shared" si="135"/>
        <v>0</v>
      </c>
      <c r="V122" s="145">
        <f t="shared" si="136"/>
        <v>0</v>
      </c>
      <c r="W122" s="128">
        <f t="shared" si="83"/>
        <v>0</v>
      </c>
    </row>
    <row r="123" spans="1:23" ht="12.75">
      <c r="A123" s="141">
        <f>+'SMAW-SMAW'!A123</f>
        <v>106</v>
      </c>
      <c r="B123" s="142">
        <v>4</v>
      </c>
      <c r="C123" s="143">
        <v>114.3</v>
      </c>
      <c r="D123" s="143">
        <v>11.13</v>
      </c>
      <c r="E123" s="144" t="s">
        <v>91</v>
      </c>
      <c r="F123" s="145">
        <f t="shared" si="0"/>
        <v>2</v>
      </c>
      <c r="G123" s="145">
        <f t="shared" si="123"/>
        <v>2</v>
      </c>
      <c r="H123" s="145">
        <f t="shared" si="124"/>
        <v>2</v>
      </c>
      <c r="I123" s="146">
        <f t="shared" si="125"/>
        <v>7.005695400247909</v>
      </c>
      <c r="J123" s="147"/>
      <c r="K123" s="145">
        <f t="shared" si="126"/>
        <v>0</v>
      </c>
      <c r="L123" s="145">
        <f t="shared" si="127"/>
        <v>6</v>
      </c>
      <c r="M123" s="145">
        <f t="shared" si="128"/>
        <v>18.26</v>
      </c>
      <c r="N123" s="145">
        <f t="shared" si="129"/>
        <v>63.96199900426341</v>
      </c>
      <c r="O123" s="145">
        <f t="shared" si="130"/>
        <v>0</v>
      </c>
      <c r="P123" s="145">
        <f t="shared" si="131"/>
        <v>42.022781600991635</v>
      </c>
      <c r="Q123" s="147">
        <f t="shared" si="132"/>
        <v>124.24478060525504</v>
      </c>
      <c r="R123" s="147"/>
      <c r="S123" s="128">
        <f t="shared" si="133"/>
        <v>0.01973742236532079</v>
      </c>
      <c r="T123" s="128">
        <f t="shared" si="134"/>
        <v>0.6407132393933798</v>
      </c>
      <c r="U123" s="145">
        <f t="shared" si="135"/>
        <v>0</v>
      </c>
      <c r="V123" s="145">
        <f t="shared" si="136"/>
        <v>0</v>
      </c>
      <c r="W123" s="128">
        <f t="shared" si="83"/>
        <v>0</v>
      </c>
    </row>
    <row r="124" spans="1:23" ht="12.75">
      <c r="A124" s="141">
        <f>+'SMAW-SMAW'!A124</f>
        <v>107</v>
      </c>
      <c r="B124" s="142">
        <v>4</v>
      </c>
      <c r="C124" s="143">
        <v>114.3</v>
      </c>
      <c r="D124" s="143">
        <v>13.49</v>
      </c>
      <c r="E124" s="144" t="s">
        <v>90</v>
      </c>
      <c r="F124" s="145">
        <f t="shared" si="0"/>
        <v>2</v>
      </c>
      <c r="G124" s="145">
        <f t="shared" si="123"/>
        <v>2</v>
      </c>
      <c r="H124" s="145">
        <f t="shared" si="124"/>
        <v>2</v>
      </c>
      <c r="I124" s="146">
        <f t="shared" si="125"/>
        <v>8.816587091878255</v>
      </c>
      <c r="J124" s="147"/>
      <c r="K124" s="145">
        <f t="shared" si="126"/>
        <v>0</v>
      </c>
      <c r="L124" s="145">
        <f t="shared" si="127"/>
        <v>6</v>
      </c>
      <c r="M124" s="145">
        <f t="shared" si="128"/>
        <v>22.98</v>
      </c>
      <c r="N124" s="145">
        <f t="shared" si="129"/>
        <v>101.30258568568115</v>
      </c>
      <c r="O124" s="145">
        <f t="shared" si="130"/>
        <v>0</v>
      </c>
      <c r="P124" s="145">
        <f t="shared" si="131"/>
        <v>49.26634836751302</v>
      </c>
      <c r="Q124" s="147">
        <f t="shared" si="132"/>
        <v>173.54893405319416</v>
      </c>
      <c r="R124" s="147"/>
      <c r="S124" s="128">
        <f t="shared" si="133"/>
        <v>0.01876740327364738</v>
      </c>
      <c r="T124" s="128">
        <f t="shared" si="134"/>
        <v>0.8852557187222589</v>
      </c>
      <c r="U124" s="145">
        <f t="shared" si="135"/>
        <v>0</v>
      </c>
      <c r="V124" s="145">
        <f t="shared" si="136"/>
        <v>0</v>
      </c>
      <c r="W124" s="128">
        <f t="shared" si="83"/>
        <v>0</v>
      </c>
    </row>
    <row r="125" spans="1:23" ht="12.75">
      <c r="A125" s="141">
        <f>+'SMAW-SMAW'!A125</f>
        <v>108</v>
      </c>
      <c r="B125" s="142">
        <v>4</v>
      </c>
      <c r="C125" s="143">
        <v>114.3</v>
      </c>
      <c r="D125" s="143">
        <v>17.121</v>
      </c>
      <c r="E125" s="144" t="s">
        <v>83</v>
      </c>
      <c r="F125" s="145">
        <f t="shared" si="0"/>
        <v>2</v>
      </c>
      <c r="G125" s="145">
        <f t="shared" si="123"/>
        <v>2</v>
      </c>
      <c r="H125" s="145">
        <f t="shared" si="124"/>
        <v>2</v>
      </c>
      <c r="I125" s="146">
        <f t="shared" si="125"/>
        <v>11.602751385229858</v>
      </c>
      <c r="J125" s="147"/>
      <c r="K125" s="145">
        <f t="shared" si="126"/>
        <v>0</v>
      </c>
      <c r="L125" s="145">
        <f t="shared" si="127"/>
        <v>6</v>
      </c>
      <c r="M125" s="145">
        <f t="shared" si="128"/>
        <v>30.241999999999997</v>
      </c>
      <c r="N125" s="145">
        <f t="shared" si="129"/>
        <v>175.44520369606067</v>
      </c>
      <c r="O125" s="145">
        <f t="shared" si="130"/>
        <v>0</v>
      </c>
      <c r="P125" s="145">
        <f t="shared" si="131"/>
        <v>60.41100554091943</v>
      </c>
      <c r="Q125" s="147">
        <f t="shared" si="132"/>
        <v>266.0982092369801</v>
      </c>
      <c r="R125" s="147"/>
      <c r="S125" s="128">
        <f t="shared" si="133"/>
        <v>0.017274971357602403</v>
      </c>
      <c r="T125" s="128">
        <f t="shared" si="134"/>
        <v>1.334428749930345</v>
      </c>
      <c r="U125" s="145">
        <f t="shared" si="135"/>
        <v>0</v>
      </c>
      <c r="V125" s="145">
        <f t="shared" si="136"/>
        <v>0</v>
      </c>
      <c r="W125" s="128">
        <f t="shared" si="83"/>
        <v>0</v>
      </c>
    </row>
    <row r="126" spans="1:23" ht="12.75">
      <c r="A126" s="141">
        <f>+'SMAW-SMAW'!A126</f>
        <v>109</v>
      </c>
      <c r="B126" s="142"/>
      <c r="C126" s="143"/>
      <c r="D126" s="143"/>
      <c r="E126" s="144"/>
      <c r="F126" s="145"/>
      <c r="G126" s="145">
        <f t="shared" si="123"/>
        <v>0</v>
      </c>
      <c r="H126" s="145"/>
      <c r="I126" s="146"/>
      <c r="J126" s="147"/>
      <c r="K126" s="145"/>
      <c r="L126" s="145"/>
      <c r="M126" s="145"/>
      <c r="N126" s="145"/>
      <c r="O126" s="145"/>
      <c r="P126" s="145"/>
      <c r="Q126" s="147"/>
      <c r="R126" s="147"/>
      <c r="S126" s="128"/>
      <c r="T126" s="128"/>
      <c r="U126" s="145"/>
      <c r="V126" s="145"/>
      <c r="W126" s="128">
        <f t="shared" si="83"/>
        <v>0</v>
      </c>
    </row>
    <row r="127" spans="1:23" ht="12.75">
      <c r="A127" s="141">
        <f>+'SMAW-SMAW'!A127</f>
        <v>110</v>
      </c>
      <c r="B127" s="142">
        <v>5</v>
      </c>
      <c r="C127" s="143">
        <v>141.3</v>
      </c>
      <c r="D127" s="143">
        <v>2.77</v>
      </c>
      <c r="E127" s="144" t="s">
        <v>81</v>
      </c>
      <c r="F127" s="145">
        <f t="shared" si="0"/>
        <v>2</v>
      </c>
      <c r="G127" s="145">
        <f t="shared" si="123"/>
        <v>2</v>
      </c>
      <c r="H127" s="145">
        <f>IF(D127&lt;=19,2,3)</f>
        <v>2</v>
      </c>
      <c r="I127" s="146">
        <f>IF(D127&lt;=19,(D127-G127)*TAN($C$8*PI()/180),(19-G127)*TAN($C$8*PI()/180))</f>
        <v>0.5908417807437994</v>
      </c>
      <c r="J127" s="147"/>
      <c r="K127" s="145">
        <f>IF(D127&lt;=19,0,(D127-19)*TAN($C$10*PI()/180))</f>
        <v>0</v>
      </c>
      <c r="L127" s="145">
        <f>+F127*(G127*1.5)</f>
        <v>6</v>
      </c>
      <c r="M127" s="145">
        <f>+F127*(D127-G127)</f>
        <v>1.54</v>
      </c>
      <c r="N127" s="145">
        <f>IF(D127&lt;=19,(D127-G127)*I127,(19-G127)*I127)</f>
        <v>0.45494817117272557</v>
      </c>
      <c r="O127" s="145">
        <f>IF(D127&lt;=19,0,(I127*(D127-19)*2)+((K127)*(D127-19)))</f>
        <v>0</v>
      </c>
      <c r="P127" s="145">
        <f>+(5+F127+(2*(I127+K127)))*H127</f>
        <v>16.3633671229752</v>
      </c>
      <c r="Q127" s="147">
        <f>SUM(M127:P127)</f>
        <v>18.358315294147925</v>
      </c>
      <c r="R127" s="147"/>
      <c r="S127" s="128">
        <f>IF(D$6=1,(PI()*(C127-(2*D127)+(2*G127))*L127*0.1*0.01*7.85*0.001/(S$16*S$17)),0)</f>
        <v>0.02872242971446516</v>
      </c>
      <c r="T127" s="128">
        <f>IF(D$6=1,(PI()*(C127-(0.5*D127))*(Q127)*0.1*0.01*7.85*0.001/(T$16*T$17)),0)</f>
        <v>0.1218185110556687</v>
      </c>
      <c r="U127" s="145">
        <f>IF(D$6=1,0,(PI()*(C127-(2*D127)+(2*G127))*L127*0.1*0.01*7.85*0.001/(U$16*U$17)))</f>
        <v>0</v>
      </c>
      <c r="V127" s="145">
        <f>IF(D$6=1,0,(PI()*(C127-(0.5*D127))*(Q127)*0.1*0.01*7.85*0.001/(V$16*V$17)))</f>
        <v>0</v>
      </c>
      <c r="W127" s="128">
        <f t="shared" si="83"/>
        <v>0</v>
      </c>
    </row>
    <row r="128" spans="1:23" ht="12.75">
      <c r="A128" s="141">
        <f>+'SMAW-SMAW'!A128</f>
        <v>111</v>
      </c>
      <c r="B128" s="142">
        <v>5</v>
      </c>
      <c r="C128" s="143">
        <v>141.3</v>
      </c>
      <c r="D128" s="143">
        <v>3.4</v>
      </c>
      <c r="E128" s="144" t="s">
        <v>84</v>
      </c>
      <c r="F128" s="145">
        <f t="shared" si="0"/>
        <v>2</v>
      </c>
      <c r="G128" s="145">
        <f t="shared" si="123"/>
        <v>2</v>
      </c>
      <c r="H128" s="145">
        <f aca="true" t="shared" si="137" ref="H128:H137">IF(D128&lt;=19,2,3)</f>
        <v>2</v>
      </c>
      <c r="I128" s="146">
        <f aca="true" t="shared" si="138" ref="I128:I137">IF(D128&lt;=19,(D128-G128)*TAN($C$8*PI()/180),(19-G128)*TAN($C$8*PI()/180))</f>
        <v>1.0742577831705444</v>
      </c>
      <c r="J128" s="147"/>
      <c r="K128" s="145">
        <f aca="true" t="shared" si="139" ref="K128:K137">IF(D128&lt;=19,0,(D128-19)*TAN($C$10*PI()/180))</f>
        <v>0</v>
      </c>
      <c r="L128" s="145">
        <f aca="true" t="shared" si="140" ref="L128:L137">+F128*(G128*1.5)</f>
        <v>6</v>
      </c>
      <c r="M128" s="145">
        <f aca="true" t="shared" si="141" ref="M128:M137">+F128*(D128-G128)</f>
        <v>2.8</v>
      </c>
      <c r="N128" s="145">
        <f aca="true" t="shared" si="142" ref="N128:N137">IF(D128&lt;=19,(D128-G128)*I128,(19-G128)*I128)</f>
        <v>1.503960896438762</v>
      </c>
      <c r="O128" s="145">
        <f aca="true" t="shared" si="143" ref="O128:O137">IF(D128&lt;=19,0,(I128*(D128-19)*2)+((K128)*(D128-19)))</f>
        <v>0</v>
      </c>
      <c r="P128" s="145">
        <f aca="true" t="shared" si="144" ref="P128:P137">+(5+F128+(2*(I128+K128)))*H128</f>
        <v>18.29703113268218</v>
      </c>
      <c r="Q128" s="147">
        <f aca="true" t="shared" si="145" ref="Q128:Q137">SUM(M128:P128)</f>
        <v>22.60099202912094</v>
      </c>
      <c r="R128" s="147"/>
      <c r="S128" s="128">
        <f aca="true" t="shared" si="146" ref="S128:S137">IF(D$6=1,(PI()*(C128-(2*D128)+(2*G128))*L128*0.1*0.01*7.85*0.001/(S$16*S$17)),0)</f>
        <v>0.028463483939993022</v>
      </c>
      <c r="T128" s="128">
        <f aca="true" t="shared" si="147" ref="T128:T137">IF(D$6=1,(PI()*(C128-(0.5*D128))*(Q128)*0.1*0.01*7.85*0.001/(T$16*T$17)),0)</f>
        <v>0.1496335936484949</v>
      </c>
      <c r="U128" s="145">
        <f aca="true" t="shared" si="148" ref="U128:U137">IF(D$6=1,0,(PI()*(C128-(2*D128)+(2*G128))*L128*0.1*0.01*7.85*0.001/(U$16*U$17)))</f>
        <v>0</v>
      </c>
      <c r="V128" s="145">
        <f aca="true" t="shared" si="149" ref="V128:V137">IF(D$6=1,0,(PI()*(C128-(0.5*D128))*(Q128)*0.1*0.01*7.85*0.001/(V$16*V$17)))</f>
        <v>0</v>
      </c>
      <c r="W128" s="128">
        <f t="shared" si="83"/>
        <v>0</v>
      </c>
    </row>
    <row r="129" spans="1:23" ht="12.75">
      <c r="A129" s="141">
        <f>+'SMAW-SMAW'!A129</f>
        <v>112</v>
      </c>
      <c r="B129" s="142">
        <v>5</v>
      </c>
      <c r="C129" s="143">
        <v>141.3</v>
      </c>
      <c r="D129" s="143">
        <v>6.55</v>
      </c>
      <c r="E129" s="144" t="s">
        <v>85</v>
      </c>
      <c r="F129" s="145">
        <f t="shared" si="0"/>
        <v>2</v>
      </c>
      <c r="G129" s="145">
        <f t="shared" si="123"/>
        <v>2</v>
      </c>
      <c r="H129" s="145">
        <f t="shared" si="137"/>
        <v>2</v>
      </c>
      <c r="I129" s="146">
        <f t="shared" si="138"/>
        <v>3.4913377953042697</v>
      </c>
      <c r="J129" s="147"/>
      <c r="K129" s="145">
        <f t="shared" si="139"/>
        <v>0</v>
      </c>
      <c r="L129" s="145">
        <f t="shared" si="140"/>
        <v>6</v>
      </c>
      <c r="M129" s="145">
        <f t="shared" si="141"/>
        <v>9.1</v>
      </c>
      <c r="N129" s="145">
        <f t="shared" si="142"/>
        <v>15.885586968634426</v>
      </c>
      <c r="O129" s="145">
        <f t="shared" si="143"/>
        <v>0</v>
      </c>
      <c r="P129" s="145">
        <f t="shared" si="144"/>
        <v>27.96535118121708</v>
      </c>
      <c r="Q129" s="147">
        <f t="shared" si="145"/>
        <v>52.95093814985151</v>
      </c>
      <c r="R129" s="147"/>
      <c r="S129" s="128">
        <f t="shared" si="146"/>
        <v>0.027168755067632333</v>
      </c>
      <c r="T129" s="128">
        <f t="shared" si="147"/>
        <v>0.3466151975310024</v>
      </c>
      <c r="U129" s="145">
        <f t="shared" si="148"/>
        <v>0</v>
      </c>
      <c r="V129" s="145">
        <f t="shared" si="149"/>
        <v>0</v>
      </c>
      <c r="W129" s="128">
        <f t="shared" si="83"/>
        <v>0</v>
      </c>
    </row>
    <row r="130" spans="1:23" ht="12.75">
      <c r="A130" s="141">
        <f>+'SMAW-SMAW'!A130</f>
        <v>113</v>
      </c>
      <c r="B130" s="142">
        <v>5</v>
      </c>
      <c r="C130" s="143">
        <v>141.3</v>
      </c>
      <c r="D130" s="143">
        <v>6.55</v>
      </c>
      <c r="E130" s="144" t="s">
        <v>86</v>
      </c>
      <c r="F130" s="145">
        <f t="shared" si="0"/>
        <v>2</v>
      </c>
      <c r="G130" s="145">
        <f t="shared" si="123"/>
        <v>2</v>
      </c>
      <c r="H130" s="145">
        <f t="shared" si="137"/>
        <v>2</v>
      </c>
      <c r="I130" s="146">
        <f t="shared" si="138"/>
        <v>3.4913377953042697</v>
      </c>
      <c r="J130" s="147"/>
      <c r="K130" s="145">
        <f t="shared" si="139"/>
        <v>0</v>
      </c>
      <c r="L130" s="145">
        <f t="shared" si="140"/>
        <v>6</v>
      </c>
      <c r="M130" s="145">
        <f t="shared" si="141"/>
        <v>9.1</v>
      </c>
      <c r="N130" s="145">
        <f t="shared" si="142"/>
        <v>15.885586968634426</v>
      </c>
      <c r="O130" s="145">
        <f t="shared" si="143"/>
        <v>0</v>
      </c>
      <c r="P130" s="145">
        <f t="shared" si="144"/>
        <v>27.96535118121708</v>
      </c>
      <c r="Q130" s="147">
        <f t="shared" si="145"/>
        <v>52.95093814985151</v>
      </c>
      <c r="R130" s="147"/>
      <c r="S130" s="128">
        <f t="shared" si="146"/>
        <v>0.027168755067632333</v>
      </c>
      <c r="T130" s="128">
        <f t="shared" si="147"/>
        <v>0.3466151975310024</v>
      </c>
      <c r="U130" s="145">
        <f t="shared" si="148"/>
        <v>0</v>
      </c>
      <c r="V130" s="145">
        <f t="shared" si="149"/>
        <v>0</v>
      </c>
      <c r="W130" s="128">
        <f t="shared" si="83"/>
        <v>0</v>
      </c>
    </row>
    <row r="131" spans="1:23" ht="12.75">
      <c r="A131" s="141">
        <f>+'SMAW-SMAW'!A131</f>
        <v>114</v>
      </c>
      <c r="B131" s="142">
        <v>5</v>
      </c>
      <c r="C131" s="143">
        <v>141.3</v>
      </c>
      <c r="D131" s="143">
        <v>6.55</v>
      </c>
      <c r="E131" s="144" t="s">
        <v>87</v>
      </c>
      <c r="F131" s="145">
        <f t="shared" si="0"/>
        <v>2</v>
      </c>
      <c r="G131" s="145">
        <f t="shared" si="123"/>
        <v>2</v>
      </c>
      <c r="H131" s="145">
        <f t="shared" si="137"/>
        <v>2</v>
      </c>
      <c r="I131" s="146">
        <f t="shared" si="138"/>
        <v>3.4913377953042697</v>
      </c>
      <c r="J131" s="147"/>
      <c r="K131" s="145">
        <f t="shared" si="139"/>
        <v>0</v>
      </c>
      <c r="L131" s="145">
        <f t="shared" si="140"/>
        <v>6</v>
      </c>
      <c r="M131" s="145">
        <f t="shared" si="141"/>
        <v>9.1</v>
      </c>
      <c r="N131" s="145">
        <f t="shared" si="142"/>
        <v>15.885586968634426</v>
      </c>
      <c r="O131" s="145">
        <f t="shared" si="143"/>
        <v>0</v>
      </c>
      <c r="P131" s="145">
        <f t="shared" si="144"/>
        <v>27.96535118121708</v>
      </c>
      <c r="Q131" s="147">
        <f t="shared" si="145"/>
        <v>52.95093814985151</v>
      </c>
      <c r="R131" s="147"/>
      <c r="S131" s="128">
        <f t="shared" si="146"/>
        <v>0.027168755067632333</v>
      </c>
      <c r="T131" s="128">
        <f t="shared" si="147"/>
        <v>0.3466151975310024</v>
      </c>
      <c r="U131" s="145">
        <f t="shared" si="148"/>
        <v>0</v>
      </c>
      <c r="V131" s="145">
        <f t="shared" si="149"/>
        <v>0</v>
      </c>
      <c r="W131" s="128">
        <f t="shared" si="83"/>
        <v>0</v>
      </c>
    </row>
    <row r="132" spans="1:23" ht="12.75">
      <c r="A132" s="141">
        <f>+'SMAW-SMAW'!A132</f>
        <v>115</v>
      </c>
      <c r="B132" s="142">
        <v>5</v>
      </c>
      <c r="C132" s="143">
        <v>141.3</v>
      </c>
      <c r="D132" s="143">
        <v>9.52</v>
      </c>
      <c r="E132" s="144" t="s">
        <v>88</v>
      </c>
      <c r="F132" s="145">
        <f t="shared" si="0"/>
        <v>2</v>
      </c>
      <c r="G132" s="145">
        <f t="shared" si="123"/>
        <v>2</v>
      </c>
      <c r="H132" s="145">
        <f t="shared" si="137"/>
        <v>2</v>
      </c>
      <c r="I132" s="146">
        <f t="shared" si="138"/>
        <v>5.770298949601782</v>
      </c>
      <c r="J132" s="147"/>
      <c r="K132" s="145">
        <f t="shared" si="139"/>
        <v>0</v>
      </c>
      <c r="L132" s="145">
        <f t="shared" si="140"/>
        <v>6</v>
      </c>
      <c r="M132" s="145">
        <f t="shared" si="141"/>
        <v>15.04</v>
      </c>
      <c r="N132" s="145">
        <f t="shared" si="142"/>
        <v>43.39264810100539</v>
      </c>
      <c r="O132" s="145">
        <f t="shared" si="143"/>
        <v>0</v>
      </c>
      <c r="P132" s="145">
        <f t="shared" si="144"/>
        <v>37.08119579840712</v>
      </c>
      <c r="Q132" s="147">
        <f t="shared" si="145"/>
        <v>95.5138438994125</v>
      </c>
      <c r="R132" s="147"/>
      <c r="S132" s="128">
        <f t="shared" si="146"/>
        <v>0.02594801070226368</v>
      </c>
      <c r="T132" s="128">
        <f t="shared" si="147"/>
        <v>0.618503850486219</v>
      </c>
      <c r="U132" s="145">
        <f t="shared" si="148"/>
        <v>0</v>
      </c>
      <c r="V132" s="145">
        <f t="shared" si="149"/>
        <v>0</v>
      </c>
      <c r="W132" s="128">
        <f t="shared" si="83"/>
        <v>0</v>
      </c>
    </row>
    <row r="133" spans="1:23" ht="12.75">
      <c r="A133" s="141">
        <f>+'SMAW-SMAW'!A133</f>
        <v>116</v>
      </c>
      <c r="B133" s="142">
        <v>5</v>
      </c>
      <c r="C133" s="143">
        <v>141.3</v>
      </c>
      <c r="D133" s="143">
        <v>9.52</v>
      </c>
      <c r="E133" s="144" t="s">
        <v>82</v>
      </c>
      <c r="F133" s="145">
        <f t="shared" si="0"/>
        <v>2</v>
      </c>
      <c r="G133" s="145">
        <f t="shared" si="123"/>
        <v>2</v>
      </c>
      <c r="H133" s="145">
        <f t="shared" si="137"/>
        <v>2</v>
      </c>
      <c r="I133" s="146">
        <f t="shared" si="138"/>
        <v>5.770298949601782</v>
      </c>
      <c r="J133" s="147"/>
      <c r="K133" s="145">
        <f t="shared" si="139"/>
        <v>0</v>
      </c>
      <c r="L133" s="145">
        <f t="shared" si="140"/>
        <v>6</v>
      </c>
      <c r="M133" s="145">
        <f t="shared" si="141"/>
        <v>15.04</v>
      </c>
      <c r="N133" s="145">
        <f t="shared" si="142"/>
        <v>43.39264810100539</v>
      </c>
      <c r="O133" s="145">
        <f t="shared" si="143"/>
        <v>0</v>
      </c>
      <c r="P133" s="145">
        <f t="shared" si="144"/>
        <v>37.08119579840712</v>
      </c>
      <c r="Q133" s="147">
        <f t="shared" si="145"/>
        <v>95.5138438994125</v>
      </c>
      <c r="R133" s="147"/>
      <c r="S133" s="128">
        <f t="shared" si="146"/>
        <v>0.02594801070226368</v>
      </c>
      <c r="T133" s="128">
        <f t="shared" si="147"/>
        <v>0.618503850486219</v>
      </c>
      <c r="U133" s="145">
        <f t="shared" si="148"/>
        <v>0</v>
      </c>
      <c r="V133" s="145">
        <f t="shared" si="149"/>
        <v>0</v>
      </c>
      <c r="W133" s="128">
        <f t="shared" si="83"/>
        <v>0</v>
      </c>
    </row>
    <row r="134" spans="1:23" ht="12.75">
      <c r="A134" s="141">
        <f>+'SMAW-SMAW'!A134</f>
        <v>117</v>
      </c>
      <c r="B134" s="142">
        <v>5</v>
      </c>
      <c r="C134" s="143">
        <v>141.3</v>
      </c>
      <c r="D134" s="143">
        <v>9.52</v>
      </c>
      <c r="E134" s="144" t="s">
        <v>89</v>
      </c>
      <c r="F134" s="145">
        <f t="shared" si="0"/>
        <v>2</v>
      </c>
      <c r="G134" s="145">
        <f t="shared" si="123"/>
        <v>2</v>
      </c>
      <c r="H134" s="145">
        <f t="shared" si="137"/>
        <v>2</v>
      </c>
      <c r="I134" s="146">
        <f t="shared" si="138"/>
        <v>5.770298949601782</v>
      </c>
      <c r="J134" s="147"/>
      <c r="K134" s="145">
        <f t="shared" si="139"/>
        <v>0</v>
      </c>
      <c r="L134" s="145">
        <f t="shared" si="140"/>
        <v>6</v>
      </c>
      <c r="M134" s="145">
        <f t="shared" si="141"/>
        <v>15.04</v>
      </c>
      <c r="N134" s="145">
        <f t="shared" si="142"/>
        <v>43.39264810100539</v>
      </c>
      <c r="O134" s="145">
        <f t="shared" si="143"/>
        <v>0</v>
      </c>
      <c r="P134" s="145">
        <f t="shared" si="144"/>
        <v>37.08119579840712</v>
      </c>
      <c r="Q134" s="147">
        <f t="shared" si="145"/>
        <v>95.5138438994125</v>
      </c>
      <c r="R134" s="147"/>
      <c r="S134" s="128">
        <f t="shared" si="146"/>
        <v>0.02594801070226368</v>
      </c>
      <c r="T134" s="128">
        <f t="shared" si="147"/>
        <v>0.618503850486219</v>
      </c>
      <c r="U134" s="145">
        <f t="shared" si="148"/>
        <v>0</v>
      </c>
      <c r="V134" s="145">
        <f t="shared" si="149"/>
        <v>0</v>
      </c>
      <c r="W134" s="128">
        <f t="shared" si="83"/>
        <v>0</v>
      </c>
    </row>
    <row r="135" spans="1:23" ht="12.75">
      <c r="A135" s="141">
        <f>+'SMAW-SMAW'!A135</f>
        <v>118</v>
      </c>
      <c r="B135" s="142">
        <v>5</v>
      </c>
      <c r="C135" s="143">
        <v>141.3</v>
      </c>
      <c r="D135" s="143">
        <v>12.7</v>
      </c>
      <c r="E135" s="144" t="s">
        <v>91</v>
      </c>
      <c r="F135" s="145">
        <f t="shared" si="0"/>
        <v>2</v>
      </c>
      <c r="G135" s="145">
        <f t="shared" si="123"/>
        <v>2</v>
      </c>
      <c r="H135" s="145">
        <f t="shared" si="137"/>
        <v>2</v>
      </c>
      <c r="I135" s="146">
        <f t="shared" si="138"/>
        <v>8.210398771374875</v>
      </c>
      <c r="J135" s="147"/>
      <c r="K135" s="145">
        <f t="shared" si="139"/>
        <v>0</v>
      </c>
      <c r="L135" s="145">
        <f t="shared" si="140"/>
        <v>6</v>
      </c>
      <c r="M135" s="145">
        <f t="shared" si="141"/>
        <v>21.4</v>
      </c>
      <c r="N135" s="145">
        <f t="shared" si="142"/>
        <v>87.85126685371115</v>
      </c>
      <c r="O135" s="145">
        <f t="shared" si="143"/>
        <v>0</v>
      </c>
      <c r="P135" s="145">
        <f t="shared" si="144"/>
        <v>46.8415950854995</v>
      </c>
      <c r="Q135" s="147">
        <f t="shared" si="145"/>
        <v>156.09286193921065</v>
      </c>
      <c r="R135" s="147"/>
      <c r="S135" s="128">
        <f t="shared" si="146"/>
        <v>0.02464095107873764</v>
      </c>
      <c r="T135" s="128">
        <f t="shared" si="147"/>
        <v>0.999015250722653</v>
      </c>
      <c r="U135" s="145">
        <f t="shared" si="148"/>
        <v>0</v>
      </c>
      <c r="V135" s="145">
        <f t="shared" si="149"/>
        <v>0</v>
      </c>
      <c r="W135" s="128">
        <f t="shared" si="83"/>
        <v>0</v>
      </c>
    </row>
    <row r="136" spans="1:23" ht="12.75">
      <c r="A136" s="141">
        <f>+'SMAW-SMAW'!A136</f>
        <v>119</v>
      </c>
      <c r="B136" s="142">
        <v>5</v>
      </c>
      <c r="C136" s="143">
        <v>141.3</v>
      </c>
      <c r="D136" s="143">
        <v>15.88</v>
      </c>
      <c r="E136" s="144" t="s">
        <v>90</v>
      </c>
      <c r="F136" s="145">
        <f t="shared" si="0"/>
        <v>2</v>
      </c>
      <c r="G136" s="145">
        <f t="shared" si="123"/>
        <v>2</v>
      </c>
      <c r="H136" s="145">
        <f t="shared" si="137"/>
        <v>2</v>
      </c>
      <c r="I136" s="146">
        <f t="shared" si="138"/>
        <v>10.65049859314797</v>
      </c>
      <c r="J136" s="147"/>
      <c r="K136" s="145">
        <f t="shared" si="139"/>
        <v>0</v>
      </c>
      <c r="L136" s="145">
        <f t="shared" si="140"/>
        <v>6</v>
      </c>
      <c r="M136" s="145">
        <f t="shared" si="141"/>
        <v>27.76</v>
      </c>
      <c r="N136" s="145">
        <f t="shared" si="142"/>
        <v>147.82892047289383</v>
      </c>
      <c r="O136" s="145">
        <f t="shared" si="143"/>
        <v>0</v>
      </c>
      <c r="P136" s="145">
        <f t="shared" si="144"/>
        <v>56.60199437259188</v>
      </c>
      <c r="Q136" s="147">
        <f t="shared" si="145"/>
        <v>232.1909148454857</v>
      </c>
      <c r="R136" s="147"/>
      <c r="S136" s="128">
        <f t="shared" si="146"/>
        <v>0.02333389145521161</v>
      </c>
      <c r="T136" s="128">
        <f t="shared" si="147"/>
        <v>1.4685441084569653</v>
      </c>
      <c r="U136" s="145">
        <f t="shared" si="148"/>
        <v>0</v>
      </c>
      <c r="V136" s="145">
        <f t="shared" si="149"/>
        <v>0</v>
      </c>
      <c r="W136" s="128">
        <f t="shared" si="83"/>
        <v>0</v>
      </c>
    </row>
    <row r="137" spans="1:23" ht="12.75">
      <c r="A137" s="141">
        <f>+'SMAW-SMAW'!A137</f>
        <v>120</v>
      </c>
      <c r="B137" s="142">
        <v>5</v>
      </c>
      <c r="C137" s="143">
        <v>141.3</v>
      </c>
      <c r="D137" s="143">
        <v>19.051</v>
      </c>
      <c r="E137" s="144" t="s">
        <v>83</v>
      </c>
      <c r="F137" s="145">
        <f t="shared" si="0"/>
        <v>2</v>
      </c>
      <c r="G137" s="145">
        <f t="shared" si="123"/>
        <v>2</v>
      </c>
      <c r="H137" s="145">
        <f t="shared" si="137"/>
        <v>3</v>
      </c>
      <c r="I137" s="146">
        <f t="shared" si="138"/>
        <v>13.044558795642326</v>
      </c>
      <c r="J137" s="147"/>
      <c r="K137" s="145">
        <f t="shared" si="139"/>
        <v>0.008992676016131428</v>
      </c>
      <c r="L137" s="145">
        <f t="shared" si="140"/>
        <v>6</v>
      </c>
      <c r="M137" s="145">
        <f t="shared" si="141"/>
        <v>34.102</v>
      </c>
      <c r="N137" s="145">
        <f t="shared" si="142"/>
        <v>221.75749952591954</v>
      </c>
      <c r="O137" s="145">
        <f t="shared" si="143"/>
        <v>1.3310036236322977</v>
      </c>
      <c r="P137" s="145">
        <f t="shared" si="144"/>
        <v>99.32130882995075</v>
      </c>
      <c r="Q137" s="147">
        <f t="shared" si="145"/>
        <v>356.51181197950257</v>
      </c>
      <c r="R137" s="147"/>
      <c r="S137" s="128">
        <f t="shared" si="146"/>
        <v>0.022030531057035178</v>
      </c>
      <c r="T137" s="128">
        <f t="shared" si="147"/>
        <v>2.228032319371839</v>
      </c>
      <c r="U137" s="145">
        <f t="shared" si="148"/>
        <v>0</v>
      </c>
      <c r="V137" s="145">
        <f t="shared" si="149"/>
        <v>0</v>
      </c>
      <c r="W137" s="128">
        <f t="shared" si="83"/>
        <v>0</v>
      </c>
    </row>
    <row r="138" spans="1:23" ht="12.75">
      <c r="A138" s="141">
        <f>+'SMAW-SMAW'!A138</f>
        <v>121</v>
      </c>
      <c r="B138" s="142"/>
      <c r="C138" s="143"/>
      <c r="D138" s="143"/>
      <c r="E138" s="144"/>
      <c r="F138" s="145"/>
      <c r="G138" s="145">
        <f t="shared" si="123"/>
        <v>0</v>
      </c>
      <c r="H138" s="145"/>
      <c r="I138" s="146"/>
      <c r="J138" s="147"/>
      <c r="K138" s="145"/>
      <c r="L138" s="145"/>
      <c r="M138" s="145"/>
      <c r="N138" s="145"/>
      <c r="O138" s="145"/>
      <c r="P138" s="145"/>
      <c r="Q138" s="147"/>
      <c r="R138" s="147"/>
      <c r="S138" s="128"/>
      <c r="T138" s="128"/>
      <c r="U138" s="145"/>
      <c r="V138" s="145"/>
      <c r="W138" s="128">
        <f t="shared" si="83"/>
        <v>0</v>
      </c>
    </row>
    <row r="139" spans="1:23" ht="12.75">
      <c r="A139" s="141">
        <f>+'SMAW-SMAW'!A139</f>
        <v>122</v>
      </c>
      <c r="B139" s="142">
        <v>6</v>
      </c>
      <c r="C139" s="143">
        <v>168.3</v>
      </c>
      <c r="D139" s="143">
        <v>2.77</v>
      </c>
      <c r="E139" s="144" t="s">
        <v>81</v>
      </c>
      <c r="F139" s="145">
        <f t="shared" si="0"/>
        <v>2</v>
      </c>
      <c r="G139" s="145">
        <f t="shared" si="123"/>
        <v>2</v>
      </c>
      <c r="H139" s="145">
        <f>IF(D139&lt;=19,2,3)</f>
        <v>2</v>
      </c>
      <c r="I139" s="146">
        <f>IF(D139&lt;=19,(D139-G139)*TAN($C$8*PI()/180),(19-G139)*TAN($C$8*PI()/180))</f>
        <v>0.5908417807437994</v>
      </c>
      <c r="J139" s="147"/>
      <c r="K139" s="145">
        <f>IF(D139&lt;=19,0,(D139-19)*TAN($C$10*PI()/180))</f>
        <v>0</v>
      </c>
      <c r="L139" s="145">
        <f>+F139*(G139*1.5)</f>
        <v>6</v>
      </c>
      <c r="M139" s="145">
        <f>+F139*(D139-G139)</f>
        <v>1.54</v>
      </c>
      <c r="N139" s="145">
        <f>IF(D139&lt;=19,(D139-G139)*I139,(19-G139)*I139)</f>
        <v>0.45494817117272557</v>
      </c>
      <c r="O139" s="145">
        <f>IF(D139&lt;=19,0,(I139*(D139-19)*2)+((K139)*(D139-19)))</f>
        <v>0</v>
      </c>
      <c r="P139" s="145">
        <f>+(5+F139+(2*(I139+K139)))*H139</f>
        <v>16.3633671229752</v>
      </c>
      <c r="Q139" s="147">
        <f>SUM(M139:P139)</f>
        <v>18.358315294147925</v>
      </c>
      <c r="R139" s="147"/>
      <c r="S139" s="128">
        <f>IF(D$6=1,(PI()*(C139-(2*D139)+(2*G139))*L139*0.1*0.01*7.85*0.001/(S$16*S$17)),0)</f>
        <v>0.03427126773886814</v>
      </c>
      <c r="T139" s="128">
        <f>IF(D$6=1,(PI()*(C139-(0.5*D139))*(Q139)*0.1*0.01*7.85*0.001/(T$16*T$17)),0)</f>
        <v>0.14532635366370253</v>
      </c>
      <c r="U139" s="145">
        <f>IF(D$6=1,0,(PI()*(C139-(2*D139)+(2*G139))*L139*0.1*0.01*7.85*0.001/(U$16*U$17)))</f>
        <v>0</v>
      </c>
      <c r="V139" s="145">
        <f>IF(D$6=1,0,(PI()*(C139-(0.5*D139))*(Q139)*0.1*0.01*7.85*0.001/(V$16*V$17)))</f>
        <v>0</v>
      </c>
      <c r="W139" s="128">
        <f t="shared" si="83"/>
        <v>0</v>
      </c>
    </row>
    <row r="140" spans="1:23" ht="12.75">
      <c r="A140" s="141">
        <f>+'SMAW-SMAW'!A140</f>
        <v>123</v>
      </c>
      <c r="B140" s="142">
        <v>6</v>
      </c>
      <c r="C140" s="143">
        <v>168.3</v>
      </c>
      <c r="D140" s="143">
        <v>3.4</v>
      </c>
      <c r="E140" s="144" t="s">
        <v>84</v>
      </c>
      <c r="F140" s="145">
        <f t="shared" si="0"/>
        <v>2</v>
      </c>
      <c r="G140" s="145">
        <f t="shared" si="123"/>
        <v>2</v>
      </c>
      <c r="H140" s="145">
        <f aca="true" t="shared" si="150" ref="H140:H149">IF(D140&lt;=19,2,3)</f>
        <v>2</v>
      </c>
      <c r="I140" s="146">
        <f aca="true" t="shared" si="151" ref="I140:I149">IF(D140&lt;=19,(D140-G140)*TAN($C$8*PI()/180),(19-G140)*TAN($C$8*PI()/180))</f>
        <v>1.0742577831705444</v>
      </c>
      <c r="J140" s="147"/>
      <c r="K140" s="145">
        <f aca="true" t="shared" si="152" ref="K140:K149">IF(D140&lt;=19,0,(D140-19)*TAN($C$10*PI()/180))</f>
        <v>0</v>
      </c>
      <c r="L140" s="145">
        <f aca="true" t="shared" si="153" ref="L140:L149">+F140*(G140*1.5)</f>
        <v>6</v>
      </c>
      <c r="M140" s="145">
        <f aca="true" t="shared" si="154" ref="M140:M149">+F140*(D140-G140)</f>
        <v>2.8</v>
      </c>
      <c r="N140" s="145">
        <f aca="true" t="shared" si="155" ref="N140:N149">IF(D140&lt;=19,(D140-G140)*I140,(19-G140)*I140)</f>
        <v>1.503960896438762</v>
      </c>
      <c r="O140" s="145">
        <f aca="true" t="shared" si="156" ref="O140:O149">IF(D140&lt;=19,0,(I140*(D140-19)*2)+((K140)*(D140-19)))</f>
        <v>0</v>
      </c>
      <c r="P140" s="145">
        <f aca="true" t="shared" si="157" ref="P140:P149">+(5+F140+(2*(I140+K140)))*H140</f>
        <v>18.29703113268218</v>
      </c>
      <c r="Q140" s="147">
        <f aca="true" t="shared" si="158" ref="Q140:Q149">SUM(M140:P140)</f>
        <v>22.60099202912094</v>
      </c>
      <c r="R140" s="147"/>
      <c r="S140" s="128">
        <f aca="true" t="shared" si="159" ref="S140:S149">IF(D$6=1,(PI()*(C140-(2*D140)+(2*G140))*L140*0.1*0.01*7.85*0.001/(S$16*S$17)),0)</f>
        <v>0.03401232196439599</v>
      </c>
      <c r="T140" s="128">
        <f aca="true" t="shared" si="160" ref="T140:T149">IF(D$6=1,(PI()*(C140-(0.5*D140))*(Q140)*0.1*0.01*7.85*0.001/(T$16*T$17)),0)</f>
        <v>0.1785741884085906</v>
      </c>
      <c r="U140" s="145">
        <f aca="true" t="shared" si="161" ref="U140:U149">IF(D$6=1,0,(PI()*(C140-(2*D140)+(2*G140))*L140*0.1*0.01*7.85*0.001/(U$16*U$17)))</f>
        <v>0</v>
      </c>
      <c r="V140" s="145">
        <f aca="true" t="shared" si="162" ref="V140:V149">IF(D$6=1,0,(PI()*(C140-(0.5*D140))*(Q140)*0.1*0.01*7.85*0.001/(V$16*V$17)))</f>
        <v>0</v>
      </c>
      <c r="W140" s="128">
        <f t="shared" si="83"/>
        <v>0</v>
      </c>
    </row>
    <row r="141" spans="1:23" ht="12.75">
      <c r="A141" s="141">
        <f>+'SMAW-SMAW'!A141</f>
        <v>124</v>
      </c>
      <c r="B141" s="142">
        <v>6</v>
      </c>
      <c r="C141" s="143">
        <v>168.3</v>
      </c>
      <c r="D141" s="143">
        <v>7.11</v>
      </c>
      <c r="E141" s="144" t="s">
        <v>85</v>
      </c>
      <c r="F141" s="145">
        <f t="shared" si="0"/>
        <v>2</v>
      </c>
      <c r="G141" s="145">
        <f t="shared" si="123"/>
        <v>2</v>
      </c>
      <c r="H141" s="145">
        <f t="shared" si="150"/>
        <v>2</v>
      </c>
      <c r="I141" s="146">
        <f t="shared" si="151"/>
        <v>3.9210409085724875</v>
      </c>
      <c r="J141" s="147"/>
      <c r="K141" s="145">
        <f t="shared" si="152"/>
        <v>0</v>
      </c>
      <c r="L141" s="145">
        <f t="shared" si="153"/>
        <v>6</v>
      </c>
      <c r="M141" s="145">
        <f t="shared" si="154"/>
        <v>10.22</v>
      </c>
      <c r="N141" s="145">
        <f t="shared" si="155"/>
        <v>20.036519042805413</v>
      </c>
      <c r="O141" s="145">
        <f t="shared" si="156"/>
        <v>0</v>
      </c>
      <c r="P141" s="145">
        <f t="shared" si="157"/>
        <v>29.684163634289952</v>
      </c>
      <c r="Q141" s="147">
        <f t="shared" si="158"/>
        <v>59.94068267709537</v>
      </c>
      <c r="R141" s="147"/>
      <c r="S141" s="128">
        <f t="shared" si="159"/>
        <v>0.03248741907028229</v>
      </c>
      <c r="T141" s="128">
        <f t="shared" si="160"/>
        <v>0.4683279887632728</v>
      </c>
      <c r="U141" s="145">
        <f t="shared" si="161"/>
        <v>0</v>
      </c>
      <c r="V141" s="145">
        <f t="shared" si="162"/>
        <v>0</v>
      </c>
      <c r="W141" s="128">
        <f t="shared" si="83"/>
        <v>0</v>
      </c>
    </row>
    <row r="142" spans="1:23" ht="12.75">
      <c r="A142" s="141">
        <f>+'SMAW-SMAW'!A142</f>
        <v>125</v>
      </c>
      <c r="B142" s="142">
        <v>6</v>
      </c>
      <c r="C142" s="143">
        <v>168.3</v>
      </c>
      <c r="D142" s="143">
        <v>7.11</v>
      </c>
      <c r="E142" s="144" t="s">
        <v>86</v>
      </c>
      <c r="F142" s="145">
        <f t="shared" si="0"/>
        <v>2</v>
      </c>
      <c r="G142" s="145">
        <f t="shared" si="123"/>
        <v>2</v>
      </c>
      <c r="H142" s="145">
        <f t="shared" si="150"/>
        <v>2</v>
      </c>
      <c r="I142" s="146">
        <f t="shared" si="151"/>
        <v>3.9210409085724875</v>
      </c>
      <c r="J142" s="147"/>
      <c r="K142" s="145">
        <f t="shared" si="152"/>
        <v>0</v>
      </c>
      <c r="L142" s="145">
        <f t="shared" si="153"/>
        <v>6</v>
      </c>
      <c r="M142" s="145">
        <f t="shared" si="154"/>
        <v>10.22</v>
      </c>
      <c r="N142" s="145">
        <f t="shared" si="155"/>
        <v>20.036519042805413</v>
      </c>
      <c r="O142" s="145">
        <f t="shared" si="156"/>
        <v>0</v>
      </c>
      <c r="P142" s="145">
        <f t="shared" si="157"/>
        <v>29.684163634289952</v>
      </c>
      <c r="Q142" s="147">
        <f t="shared" si="158"/>
        <v>59.94068267709537</v>
      </c>
      <c r="R142" s="147"/>
      <c r="S142" s="128">
        <f t="shared" si="159"/>
        <v>0.03248741907028229</v>
      </c>
      <c r="T142" s="128">
        <f t="shared" si="160"/>
        <v>0.4683279887632728</v>
      </c>
      <c r="U142" s="145">
        <f t="shared" si="161"/>
        <v>0</v>
      </c>
      <c r="V142" s="145">
        <f t="shared" si="162"/>
        <v>0</v>
      </c>
      <c r="W142" s="128">
        <f t="shared" si="83"/>
        <v>0</v>
      </c>
    </row>
    <row r="143" spans="1:23" ht="12.75">
      <c r="A143" s="141">
        <f>+'SMAW-SMAW'!A143</f>
        <v>126</v>
      </c>
      <c r="B143" s="142">
        <v>6</v>
      </c>
      <c r="C143" s="143">
        <v>168.3</v>
      </c>
      <c r="D143" s="143">
        <v>7.11</v>
      </c>
      <c r="E143" s="144" t="s">
        <v>87</v>
      </c>
      <c r="F143" s="145">
        <f t="shared" si="0"/>
        <v>2</v>
      </c>
      <c r="G143" s="145">
        <f t="shared" si="123"/>
        <v>2</v>
      </c>
      <c r="H143" s="145">
        <f t="shared" si="150"/>
        <v>2</v>
      </c>
      <c r="I143" s="146">
        <f t="shared" si="151"/>
        <v>3.9210409085724875</v>
      </c>
      <c r="J143" s="147"/>
      <c r="K143" s="145">
        <f t="shared" si="152"/>
        <v>0</v>
      </c>
      <c r="L143" s="145">
        <f t="shared" si="153"/>
        <v>6</v>
      </c>
      <c r="M143" s="145">
        <f t="shared" si="154"/>
        <v>10.22</v>
      </c>
      <c r="N143" s="145">
        <f t="shared" si="155"/>
        <v>20.036519042805413</v>
      </c>
      <c r="O143" s="145">
        <f t="shared" si="156"/>
        <v>0</v>
      </c>
      <c r="P143" s="145">
        <f t="shared" si="157"/>
        <v>29.684163634289952</v>
      </c>
      <c r="Q143" s="147">
        <f t="shared" si="158"/>
        <v>59.94068267709537</v>
      </c>
      <c r="R143" s="147"/>
      <c r="S143" s="128">
        <f t="shared" si="159"/>
        <v>0.03248741907028229</v>
      </c>
      <c r="T143" s="128">
        <f t="shared" si="160"/>
        <v>0.4683279887632728</v>
      </c>
      <c r="U143" s="145">
        <f t="shared" si="161"/>
        <v>0</v>
      </c>
      <c r="V143" s="145">
        <f t="shared" si="162"/>
        <v>0</v>
      </c>
      <c r="W143" s="128">
        <f t="shared" si="83"/>
        <v>0</v>
      </c>
    </row>
    <row r="144" spans="1:23" ht="12.75">
      <c r="A144" s="141">
        <f>+'SMAW-SMAW'!A144</f>
        <v>127</v>
      </c>
      <c r="B144" s="142">
        <v>6</v>
      </c>
      <c r="C144" s="143">
        <v>168.3</v>
      </c>
      <c r="D144" s="143">
        <v>10.97</v>
      </c>
      <c r="E144" s="144" t="s">
        <v>88</v>
      </c>
      <c r="F144" s="145">
        <f t="shared" si="0"/>
        <v>2</v>
      </c>
      <c r="G144" s="145">
        <f t="shared" si="123"/>
        <v>2</v>
      </c>
      <c r="H144" s="145">
        <f t="shared" si="150"/>
        <v>2</v>
      </c>
      <c r="I144" s="146">
        <f t="shared" si="151"/>
        <v>6.882923082171275</v>
      </c>
      <c r="J144" s="147"/>
      <c r="K144" s="145">
        <f t="shared" si="152"/>
        <v>0</v>
      </c>
      <c r="L144" s="145">
        <f t="shared" si="153"/>
        <v>6</v>
      </c>
      <c r="M144" s="145">
        <f t="shared" si="154"/>
        <v>17.94</v>
      </c>
      <c r="N144" s="145">
        <f t="shared" si="155"/>
        <v>61.73982004707634</v>
      </c>
      <c r="O144" s="145">
        <f t="shared" si="156"/>
        <v>0</v>
      </c>
      <c r="P144" s="145">
        <f t="shared" si="157"/>
        <v>41.5316923286851</v>
      </c>
      <c r="Q144" s="147">
        <f t="shared" si="158"/>
        <v>121.21151237576144</v>
      </c>
      <c r="R144" s="147"/>
      <c r="S144" s="128">
        <f t="shared" si="159"/>
        <v>0.030900862420341887</v>
      </c>
      <c r="T144" s="128">
        <f t="shared" si="160"/>
        <v>0.9359539239412008</v>
      </c>
      <c r="U144" s="145">
        <f t="shared" si="161"/>
        <v>0</v>
      </c>
      <c r="V144" s="145">
        <f t="shared" si="162"/>
        <v>0</v>
      </c>
      <c r="W144" s="128">
        <f t="shared" si="83"/>
        <v>0</v>
      </c>
    </row>
    <row r="145" spans="1:23" ht="12.75">
      <c r="A145" s="141">
        <f>+'SMAW-SMAW'!A145</f>
        <v>128</v>
      </c>
      <c r="B145" s="142">
        <v>6</v>
      </c>
      <c r="C145" s="143">
        <v>168.3</v>
      </c>
      <c r="D145" s="143">
        <v>10.97</v>
      </c>
      <c r="E145" s="144" t="s">
        <v>82</v>
      </c>
      <c r="F145" s="145">
        <f t="shared" si="0"/>
        <v>2</v>
      </c>
      <c r="G145" s="145">
        <f t="shared" si="123"/>
        <v>2</v>
      </c>
      <c r="H145" s="145">
        <f t="shared" si="150"/>
        <v>2</v>
      </c>
      <c r="I145" s="146">
        <f t="shared" si="151"/>
        <v>6.882923082171275</v>
      </c>
      <c r="J145" s="147"/>
      <c r="K145" s="145">
        <f t="shared" si="152"/>
        <v>0</v>
      </c>
      <c r="L145" s="145">
        <f t="shared" si="153"/>
        <v>6</v>
      </c>
      <c r="M145" s="145">
        <f t="shared" si="154"/>
        <v>17.94</v>
      </c>
      <c r="N145" s="145">
        <f t="shared" si="155"/>
        <v>61.73982004707634</v>
      </c>
      <c r="O145" s="145">
        <f t="shared" si="156"/>
        <v>0</v>
      </c>
      <c r="P145" s="145">
        <f t="shared" si="157"/>
        <v>41.5316923286851</v>
      </c>
      <c r="Q145" s="147">
        <f t="shared" si="158"/>
        <v>121.21151237576144</v>
      </c>
      <c r="R145" s="147"/>
      <c r="S145" s="128">
        <f t="shared" si="159"/>
        <v>0.030900862420341887</v>
      </c>
      <c r="T145" s="128">
        <f t="shared" si="160"/>
        <v>0.9359539239412008</v>
      </c>
      <c r="U145" s="145">
        <f t="shared" si="161"/>
        <v>0</v>
      </c>
      <c r="V145" s="145">
        <f t="shared" si="162"/>
        <v>0</v>
      </c>
      <c r="W145" s="128">
        <f t="shared" si="83"/>
        <v>0</v>
      </c>
    </row>
    <row r="146" spans="1:23" ht="12.75">
      <c r="A146" s="141">
        <f>+'SMAW-SMAW'!A146</f>
        <v>129</v>
      </c>
      <c r="B146" s="142">
        <v>6</v>
      </c>
      <c r="C146" s="143">
        <v>168.3</v>
      </c>
      <c r="D146" s="143">
        <v>10.97</v>
      </c>
      <c r="E146" s="144" t="s">
        <v>89</v>
      </c>
      <c r="F146" s="145">
        <f t="shared" si="0"/>
        <v>2</v>
      </c>
      <c r="G146" s="145">
        <f t="shared" si="123"/>
        <v>2</v>
      </c>
      <c r="H146" s="145">
        <f t="shared" si="150"/>
        <v>2</v>
      </c>
      <c r="I146" s="146">
        <f t="shared" si="151"/>
        <v>6.882923082171275</v>
      </c>
      <c r="J146" s="147"/>
      <c r="K146" s="145">
        <f t="shared" si="152"/>
        <v>0</v>
      </c>
      <c r="L146" s="145">
        <f t="shared" si="153"/>
        <v>6</v>
      </c>
      <c r="M146" s="145">
        <f t="shared" si="154"/>
        <v>17.94</v>
      </c>
      <c r="N146" s="145">
        <f t="shared" si="155"/>
        <v>61.73982004707634</v>
      </c>
      <c r="O146" s="145">
        <f t="shared" si="156"/>
        <v>0</v>
      </c>
      <c r="P146" s="145">
        <f t="shared" si="157"/>
        <v>41.5316923286851</v>
      </c>
      <c r="Q146" s="147">
        <f t="shared" si="158"/>
        <v>121.21151237576144</v>
      </c>
      <c r="R146" s="147"/>
      <c r="S146" s="128">
        <f t="shared" si="159"/>
        <v>0.030900862420341887</v>
      </c>
      <c r="T146" s="128">
        <f t="shared" si="160"/>
        <v>0.9359539239412008</v>
      </c>
      <c r="U146" s="145">
        <f t="shared" si="161"/>
        <v>0</v>
      </c>
      <c r="V146" s="145">
        <f t="shared" si="162"/>
        <v>0</v>
      </c>
      <c r="W146" s="128">
        <f t="shared" si="83"/>
        <v>0</v>
      </c>
    </row>
    <row r="147" spans="1:23" ht="12.75">
      <c r="A147" s="141">
        <f>+'SMAW-SMAW'!A147</f>
        <v>130</v>
      </c>
      <c r="B147" s="142">
        <v>6</v>
      </c>
      <c r="C147" s="143">
        <v>168.3</v>
      </c>
      <c r="D147" s="143">
        <v>14.27</v>
      </c>
      <c r="E147" s="144" t="s">
        <v>91</v>
      </c>
      <c r="F147" s="145">
        <f t="shared" si="0"/>
        <v>2</v>
      </c>
      <c r="G147" s="145">
        <f t="shared" si="123"/>
        <v>2</v>
      </c>
      <c r="H147" s="145">
        <f t="shared" si="150"/>
        <v>2</v>
      </c>
      <c r="I147" s="146">
        <f t="shared" si="151"/>
        <v>9.415102142501844</v>
      </c>
      <c r="J147" s="147"/>
      <c r="K147" s="145">
        <f t="shared" si="152"/>
        <v>0</v>
      </c>
      <c r="L147" s="145">
        <f t="shared" si="153"/>
        <v>6</v>
      </c>
      <c r="M147" s="145">
        <f t="shared" si="154"/>
        <v>24.54</v>
      </c>
      <c r="N147" s="145">
        <f t="shared" si="155"/>
        <v>115.52330328849763</v>
      </c>
      <c r="O147" s="145">
        <f t="shared" si="156"/>
        <v>0</v>
      </c>
      <c r="P147" s="145">
        <f t="shared" si="157"/>
        <v>51.66040857000738</v>
      </c>
      <c r="Q147" s="147">
        <f t="shared" si="158"/>
        <v>191.723711858505</v>
      </c>
      <c r="R147" s="147"/>
      <c r="S147" s="128">
        <f t="shared" si="159"/>
        <v>0.029544479792154497</v>
      </c>
      <c r="T147" s="128">
        <f t="shared" si="160"/>
        <v>1.4654221338434488</v>
      </c>
      <c r="U147" s="145">
        <f t="shared" si="161"/>
        <v>0</v>
      </c>
      <c r="V147" s="145">
        <f t="shared" si="162"/>
        <v>0</v>
      </c>
      <c r="W147" s="128">
        <f aca="true" t="shared" si="163" ref="W147:W210">SUM(U147:V147)</f>
        <v>0</v>
      </c>
    </row>
    <row r="148" spans="1:23" ht="12.75">
      <c r="A148" s="141">
        <f>+'SMAW-SMAW'!A148</f>
        <v>131</v>
      </c>
      <c r="B148" s="142">
        <v>6</v>
      </c>
      <c r="C148" s="143">
        <v>168.3</v>
      </c>
      <c r="D148" s="143">
        <v>18.26</v>
      </c>
      <c r="E148" s="144" t="s">
        <v>90</v>
      </c>
      <c r="F148" s="145">
        <f t="shared" si="0"/>
        <v>2</v>
      </c>
      <c r="G148" s="145">
        <f aca="true" t="shared" si="164" ref="G148:G206">IF(D148&lt;2,D148,2)</f>
        <v>2</v>
      </c>
      <c r="H148" s="145">
        <f t="shared" si="150"/>
        <v>2</v>
      </c>
      <c r="I148" s="146">
        <f t="shared" si="151"/>
        <v>12.476736824537896</v>
      </c>
      <c r="J148" s="147"/>
      <c r="K148" s="145">
        <f t="shared" si="152"/>
        <v>0</v>
      </c>
      <c r="L148" s="145">
        <f t="shared" si="153"/>
        <v>6</v>
      </c>
      <c r="M148" s="145">
        <f t="shared" si="154"/>
        <v>32.52</v>
      </c>
      <c r="N148" s="145">
        <f t="shared" si="155"/>
        <v>202.87174076698622</v>
      </c>
      <c r="O148" s="145">
        <f t="shared" si="156"/>
        <v>0</v>
      </c>
      <c r="P148" s="145">
        <f t="shared" si="157"/>
        <v>63.906947298151586</v>
      </c>
      <c r="Q148" s="147">
        <f t="shared" si="158"/>
        <v>299.2986880651378</v>
      </c>
      <c r="R148" s="147"/>
      <c r="S148" s="128">
        <f t="shared" si="159"/>
        <v>0.027904489887164277</v>
      </c>
      <c r="T148" s="128">
        <f t="shared" si="160"/>
        <v>2.2593432462165834</v>
      </c>
      <c r="U148" s="145">
        <f t="shared" si="161"/>
        <v>0</v>
      </c>
      <c r="V148" s="145">
        <f t="shared" si="162"/>
        <v>0</v>
      </c>
      <c r="W148" s="128">
        <f t="shared" si="163"/>
        <v>0</v>
      </c>
    </row>
    <row r="149" spans="1:23" ht="12.75">
      <c r="A149" s="141">
        <f>+'SMAW-SMAW'!A149</f>
        <v>132</v>
      </c>
      <c r="B149" s="142">
        <v>6</v>
      </c>
      <c r="C149" s="143">
        <v>168.3</v>
      </c>
      <c r="D149" s="143">
        <v>21.95</v>
      </c>
      <c r="E149" s="144" t="s">
        <v>83</v>
      </c>
      <c r="F149" s="145">
        <f t="shared" si="0"/>
        <v>2</v>
      </c>
      <c r="G149" s="145">
        <f t="shared" si="164"/>
        <v>2</v>
      </c>
      <c r="H149" s="145">
        <f t="shared" si="150"/>
        <v>3</v>
      </c>
      <c r="I149" s="146">
        <f t="shared" si="151"/>
        <v>13.044558795642326</v>
      </c>
      <c r="J149" s="147"/>
      <c r="K149" s="145">
        <f t="shared" si="152"/>
        <v>0.5201645930899715</v>
      </c>
      <c r="L149" s="145">
        <f t="shared" si="153"/>
        <v>6</v>
      </c>
      <c r="M149" s="145">
        <f t="shared" si="154"/>
        <v>39.9</v>
      </c>
      <c r="N149" s="145">
        <f t="shared" si="155"/>
        <v>221.75749952591954</v>
      </c>
      <c r="O149" s="145">
        <f t="shared" si="156"/>
        <v>78.49738244390511</v>
      </c>
      <c r="P149" s="145">
        <f t="shared" si="157"/>
        <v>102.38834033239378</v>
      </c>
      <c r="Q149" s="147">
        <f t="shared" si="158"/>
        <v>442.54322230221845</v>
      </c>
      <c r="R149" s="147"/>
      <c r="S149" s="128">
        <f t="shared" si="159"/>
        <v>0.026387807493827468</v>
      </c>
      <c r="T149" s="128">
        <f t="shared" si="160"/>
        <v>3.3019433652359935</v>
      </c>
      <c r="U149" s="145">
        <f t="shared" si="161"/>
        <v>0</v>
      </c>
      <c r="V149" s="145">
        <f t="shared" si="162"/>
        <v>0</v>
      </c>
      <c r="W149" s="128">
        <f t="shared" si="163"/>
        <v>0</v>
      </c>
    </row>
    <row r="150" spans="1:23" ht="12.75">
      <c r="A150" s="141">
        <f>+'SMAW-SMAW'!A150</f>
        <v>133</v>
      </c>
      <c r="B150" s="142"/>
      <c r="C150" s="143"/>
      <c r="D150" s="143"/>
      <c r="E150" s="144"/>
      <c r="F150" s="145"/>
      <c r="G150" s="145">
        <f t="shared" si="164"/>
        <v>0</v>
      </c>
      <c r="H150" s="145"/>
      <c r="I150" s="146"/>
      <c r="J150" s="147"/>
      <c r="K150" s="145"/>
      <c r="L150" s="145"/>
      <c r="M150" s="145"/>
      <c r="N150" s="145"/>
      <c r="O150" s="145"/>
      <c r="P150" s="145"/>
      <c r="Q150" s="147"/>
      <c r="R150" s="147"/>
      <c r="S150" s="128"/>
      <c r="T150" s="128"/>
      <c r="U150" s="145"/>
      <c r="V150" s="145"/>
      <c r="W150" s="128">
        <f t="shared" si="163"/>
        <v>0</v>
      </c>
    </row>
    <row r="151" spans="1:26" ht="12.75">
      <c r="A151" s="141">
        <f>+'SMAW-SMAW'!A151</f>
        <v>134</v>
      </c>
      <c r="B151" s="142">
        <v>8</v>
      </c>
      <c r="C151" s="143">
        <v>219.1</v>
      </c>
      <c r="D151" s="143">
        <v>2.77</v>
      </c>
      <c r="E151" s="144" t="s">
        <v>81</v>
      </c>
      <c r="F151" s="145">
        <f t="shared" si="0"/>
        <v>2</v>
      </c>
      <c r="G151" s="145">
        <f t="shared" si="164"/>
        <v>2</v>
      </c>
      <c r="H151" s="145">
        <f>IF(D151&lt;=19,2,3)</f>
        <v>2</v>
      </c>
      <c r="I151" s="146">
        <f>IF(D151&lt;=19,(D151-G151)*TAN($C$8*PI()/180),(19-G151)*TAN($C$8*PI()/180))</f>
        <v>0.5908417807437994</v>
      </c>
      <c r="J151" s="147"/>
      <c r="K151" s="145">
        <f>IF(D151&lt;=19,0,(D151-19)*TAN($C$10*PI()/180))</f>
        <v>0</v>
      </c>
      <c r="L151" s="145">
        <f>+F151*(G151*1.5)</f>
        <v>6</v>
      </c>
      <c r="M151" s="145">
        <f>+F151*(D151-G151)</f>
        <v>1.54</v>
      </c>
      <c r="N151" s="145">
        <f>IF(D151&lt;=19,(D151-G151)*I151,(19-G151)*I151)</f>
        <v>0.45494817117272557</v>
      </c>
      <c r="O151" s="145">
        <f>IF(D151&lt;=19,0,(I151*(D151-19)*2)+((K151)*(D151-19)))</f>
        <v>0</v>
      </c>
      <c r="P151" s="145">
        <f>+(5+F151+(2*(I151+K151)))*H151</f>
        <v>16.3633671229752</v>
      </c>
      <c r="Q151" s="147">
        <f>SUM(M151:P151)</f>
        <v>18.358315294147925</v>
      </c>
      <c r="R151" s="147"/>
      <c r="S151" s="128">
        <f>IF(D$6=1,(PI()*(C151-(2*D151)+(2*G151))*L151*0.1*0.01*7.85*0.001/(S$16*S$17)),0)</f>
        <v>0.04471130372552262</v>
      </c>
      <c r="T151" s="128">
        <f>IF(D$6=1,(PI()*(C151-(0.5*D151))*(Q151)*0.1*0.01*7.85*0.001/(T$16*T$17)),0)</f>
        <v>0.1895559242002995</v>
      </c>
      <c r="U151" s="145">
        <f>IF(D$6=1,0,(PI()*(C151-(2*D151)+(2*G151))*L151*0.1*0.01*7.85*0.001/(U$16*U$17)))</f>
        <v>0</v>
      </c>
      <c r="V151" s="145">
        <f>IF(D$6=1,0,(PI()*(C151-(0.5*D151))*(Q151)*0.1*0.01*7.85*0.001/(V$16*V$17)))</f>
        <v>0</v>
      </c>
      <c r="W151" s="128">
        <f t="shared" si="163"/>
        <v>0</v>
      </c>
      <c r="X151" t="str">
        <f>+CONCATENATE(B151,D151)</f>
        <v>82,77</v>
      </c>
      <c r="Y151" s="151">
        <f>+S151</f>
        <v>0.04471130372552262</v>
      </c>
      <c r="Z151" s="151">
        <f>+T151</f>
        <v>0.1895559242002995</v>
      </c>
    </row>
    <row r="152" spans="1:26" ht="12.75">
      <c r="A152" s="141">
        <f>+'SMAW-SMAW'!A152</f>
        <v>135</v>
      </c>
      <c r="B152" s="142">
        <v>8</v>
      </c>
      <c r="C152" s="143">
        <v>219.1</v>
      </c>
      <c r="D152" s="143">
        <v>3.76</v>
      </c>
      <c r="E152" s="144" t="s">
        <v>84</v>
      </c>
      <c r="F152" s="145">
        <f t="shared" si="0"/>
        <v>2</v>
      </c>
      <c r="G152" s="145">
        <f t="shared" si="164"/>
        <v>2</v>
      </c>
      <c r="H152" s="145">
        <f aca="true" t="shared" si="165" ref="H152:H166">IF(D152&lt;=19,2,3)</f>
        <v>2</v>
      </c>
      <c r="I152" s="146">
        <f aca="true" t="shared" si="166" ref="I152:I166">IF(D152&lt;=19,(D152-G152)*TAN($C$8*PI()/180),(19-G152)*TAN($C$8*PI()/180))</f>
        <v>1.35049549884297</v>
      </c>
      <c r="J152" s="147"/>
      <c r="K152" s="145">
        <f aca="true" t="shared" si="167" ref="K152:K166">IF(D152&lt;=19,0,(D152-19)*TAN($C$10*PI()/180))</f>
        <v>0</v>
      </c>
      <c r="L152" s="145">
        <f aca="true" t="shared" si="168" ref="L152:L166">+F152*(G152*1.5)</f>
        <v>6</v>
      </c>
      <c r="M152" s="145">
        <f aca="true" t="shared" si="169" ref="M152:M166">+F152*(D152-G152)</f>
        <v>3.5199999999999996</v>
      </c>
      <c r="N152" s="145">
        <f aca="true" t="shared" si="170" ref="N152:N166">IF(D152&lt;=19,(D152-G152)*I152,(19-G152)*I152)</f>
        <v>2.376872077963627</v>
      </c>
      <c r="O152" s="145">
        <f aca="true" t="shared" si="171" ref="O152:O166">IF(D152&lt;=19,0,(I152*(D152-19)*2)+((K152)*(D152-19)))</f>
        <v>0</v>
      </c>
      <c r="P152" s="145">
        <f aca="true" t="shared" si="172" ref="P152:P166">+(5+F152+(2*(I152+K152)))*H152</f>
        <v>19.40198199537188</v>
      </c>
      <c r="Q152" s="147">
        <f aca="true" t="shared" si="173" ref="Q152:Q166">SUM(M152:P152)</f>
        <v>25.298854073335505</v>
      </c>
      <c r="R152" s="147"/>
      <c r="S152" s="128">
        <f aca="true" t="shared" si="174" ref="S152:S166">IF(D$6=1,(PI()*(C152-(2*D152)+(2*G152))*L152*0.1*0.01*7.85*0.001/(S$16*S$17)),0)</f>
        <v>0.04430438893706639</v>
      </c>
      <c r="T152" s="128">
        <f aca="true" t="shared" si="175" ref="T152:T166">IF(D$6=1,(PI()*(C152-(0.5*D152))*(Q152)*0.1*0.01*7.85*0.001/(T$16*T$17)),0)</f>
        <v>0.2606254637906035</v>
      </c>
      <c r="U152" s="145">
        <f aca="true" t="shared" si="176" ref="U152:U166">IF(D$6=1,0,(PI()*(C152-(2*D152)+(2*G152))*L152*0.1*0.01*7.85*0.001/(U$16*U$17)))</f>
        <v>0</v>
      </c>
      <c r="V152" s="145">
        <f aca="true" t="shared" si="177" ref="V152:V166">IF(D$6=1,0,(PI()*(C152-(0.5*D152))*(Q152)*0.1*0.01*7.85*0.001/(V$16*V$17)))</f>
        <v>0</v>
      </c>
      <c r="W152" s="128">
        <f t="shared" si="163"/>
        <v>0</v>
      </c>
      <c r="X152" t="str">
        <f aca="true" t="shared" si="178" ref="X152:X215">+CONCATENATE(B152,D152)</f>
        <v>83,76</v>
      </c>
      <c r="Y152" s="151">
        <f aca="true" t="shared" si="179" ref="Y152:Y215">+S152</f>
        <v>0.04430438893706639</v>
      </c>
      <c r="Z152" s="151">
        <f aca="true" t="shared" si="180" ref="Z152:Z215">+T152</f>
        <v>0.2606254637906035</v>
      </c>
    </row>
    <row r="153" spans="1:26" ht="12.75">
      <c r="A153" s="141">
        <f>+'SMAW-SMAW'!A153</f>
        <v>136</v>
      </c>
      <c r="B153" s="142">
        <v>8</v>
      </c>
      <c r="C153" s="143">
        <v>219.1</v>
      </c>
      <c r="D153" s="143">
        <v>6.35</v>
      </c>
      <c r="E153" s="144" t="s">
        <v>92</v>
      </c>
      <c r="F153" s="145">
        <f t="shared" si="0"/>
        <v>2</v>
      </c>
      <c r="G153" s="145">
        <f t="shared" si="164"/>
        <v>2</v>
      </c>
      <c r="H153" s="145">
        <f t="shared" si="165"/>
        <v>2</v>
      </c>
      <c r="I153" s="146">
        <f t="shared" si="166"/>
        <v>3.337872397708477</v>
      </c>
      <c r="J153" s="147"/>
      <c r="K153" s="145">
        <f t="shared" si="167"/>
        <v>0</v>
      </c>
      <c r="L153" s="145">
        <f t="shared" si="168"/>
        <v>6</v>
      </c>
      <c r="M153" s="145">
        <f t="shared" si="169"/>
        <v>8.7</v>
      </c>
      <c r="N153" s="145">
        <f t="shared" si="170"/>
        <v>14.519744930031875</v>
      </c>
      <c r="O153" s="145">
        <f t="shared" si="171"/>
        <v>0</v>
      </c>
      <c r="P153" s="145">
        <f t="shared" si="172"/>
        <v>27.351489590833907</v>
      </c>
      <c r="Q153" s="147">
        <f t="shared" si="173"/>
        <v>50.57123452086578</v>
      </c>
      <c r="R153" s="147"/>
      <c r="S153" s="128">
        <f t="shared" si="174"/>
        <v>0.04323983408645871</v>
      </c>
      <c r="T153" s="128">
        <f t="shared" si="175"/>
        <v>0.5178722851769517</v>
      </c>
      <c r="U153" s="145">
        <f t="shared" si="176"/>
        <v>0</v>
      </c>
      <c r="V153" s="145">
        <f t="shared" si="177"/>
        <v>0</v>
      </c>
      <c r="W153" s="128">
        <f t="shared" si="163"/>
        <v>0</v>
      </c>
      <c r="X153" t="str">
        <f t="shared" si="178"/>
        <v>86,35</v>
      </c>
      <c r="Y153" s="151">
        <f t="shared" si="179"/>
        <v>0.04323983408645871</v>
      </c>
      <c r="Z153" s="151">
        <f t="shared" si="180"/>
        <v>0.5178722851769517</v>
      </c>
    </row>
    <row r="154" spans="1:26" ht="12.75">
      <c r="A154" s="141">
        <f>+'SMAW-SMAW'!A154</f>
        <v>137</v>
      </c>
      <c r="B154" s="142">
        <v>8</v>
      </c>
      <c r="C154" s="143">
        <v>219.1</v>
      </c>
      <c r="D154" s="143">
        <v>7.04</v>
      </c>
      <c r="E154" s="144" t="s">
        <v>93</v>
      </c>
      <c r="F154" s="145">
        <f t="shared" si="0"/>
        <v>2</v>
      </c>
      <c r="G154" s="145">
        <f t="shared" si="164"/>
        <v>2</v>
      </c>
      <c r="H154" s="145">
        <f t="shared" si="165"/>
        <v>2</v>
      </c>
      <c r="I154" s="146">
        <f t="shared" si="166"/>
        <v>3.8673280194139603</v>
      </c>
      <c r="J154" s="147"/>
      <c r="K154" s="145">
        <f t="shared" si="167"/>
        <v>0</v>
      </c>
      <c r="L154" s="145">
        <f t="shared" si="168"/>
        <v>6</v>
      </c>
      <c r="M154" s="145">
        <f t="shared" si="169"/>
        <v>10.08</v>
      </c>
      <c r="N154" s="145">
        <f t="shared" si="170"/>
        <v>19.49133321784636</v>
      </c>
      <c r="O154" s="145">
        <f t="shared" si="171"/>
        <v>0</v>
      </c>
      <c r="P154" s="145">
        <f t="shared" si="172"/>
        <v>29.469312077655843</v>
      </c>
      <c r="Q154" s="147">
        <f t="shared" si="173"/>
        <v>59.0406452955022</v>
      </c>
      <c r="R154" s="147"/>
      <c r="S154" s="128">
        <f t="shared" si="174"/>
        <v>0.04295622680965589</v>
      </c>
      <c r="T154" s="128">
        <f t="shared" si="175"/>
        <v>0.6036368566770711</v>
      </c>
      <c r="U154" s="145">
        <f t="shared" si="176"/>
        <v>0</v>
      </c>
      <c r="V154" s="145">
        <f t="shared" si="177"/>
        <v>0</v>
      </c>
      <c r="W154" s="128">
        <f t="shared" si="163"/>
        <v>0</v>
      </c>
      <c r="X154" t="str">
        <f t="shared" si="178"/>
        <v>87,04</v>
      </c>
      <c r="Y154" s="151">
        <f t="shared" si="179"/>
        <v>0.04295622680965589</v>
      </c>
      <c r="Z154" s="151">
        <f t="shared" si="180"/>
        <v>0.6036368566770711</v>
      </c>
    </row>
    <row r="155" spans="1:26" ht="12.75">
      <c r="A155" s="141">
        <f>+'SMAW-SMAW'!A155</f>
        <v>138</v>
      </c>
      <c r="B155" s="142">
        <v>8</v>
      </c>
      <c r="C155" s="143">
        <v>219.1</v>
      </c>
      <c r="D155" s="143">
        <v>8.18</v>
      </c>
      <c r="E155" s="144" t="s">
        <v>85</v>
      </c>
      <c r="F155" s="145">
        <f t="shared" si="0"/>
        <v>2</v>
      </c>
      <c r="G155" s="145">
        <f t="shared" si="164"/>
        <v>2</v>
      </c>
      <c r="H155" s="145">
        <f t="shared" si="165"/>
        <v>2</v>
      </c>
      <c r="I155" s="146">
        <f t="shared" si="166"/>
        <v>4.742080785709975</v>
      </c>
      <c r="J155" s="147"/>
      <c r="K155" s="145">
        <f t="shared" si="167"/>
        <v>0</v>
      </c>
      <c r="L155" s="145">
        <f t="shared" si="168"/>
        <v>6</v>
      </c>
      <c r="M155" s="145">
        <f t="shared" si="169"/>
        <v>12.36</v>
      </c>
      <c r="N155" s="145">
        <f t="shared" si="170"/>
        <v>29.306059255687643</v>
      </c>
      <c r="O155" s="145">
        <f t="shared" si="171"/>
        <v>0</v>
      </c>
      <c r="P155" s="145">
        <f t="shared" si="172"/>
        <v>32.9683231428399</v>
      </c>
      <c r="Q155" s="147">
        <f t="shared" si="173"/>
        <v>74.63438239852755</v>
      </c>
      <c r="R155" s="147"/>
      <c r="S155" s="128">
        <f t="shared" si="174"/>
        <v>0.04248765826537298</v>
      </c>
      <c r="T155" s="128">
        <f t="shared" si="175"/>
        <v>0.7610510480500671</v>
      </c>
      <c r="U155" s="145">
        <f t="shared" si="176"/>
        <v>0</v>
      </c>
      <c r="V155" s="145">
        <f t="shared" si="177"/>
        <v>0</v>
      </c>
      <c r="W155" s="128">
        <f t="shared" si="163"/>
        <v>0</v>
      </c>
      <c r="X155" t="str">
        <f t="shared" si="178"/>
        <v>88,18</v>
      </c>
      <c r="Y155" s="151">
        <f t="shared" si="179"/>
        <v>0.04248765826537298</v>
      </c>
      <c r="Z155" s="151">
        <f t="shared" si="180"/>
        <v>0.7610510480500671</v>
      </c>
    </row>
    <row r="156" spans="1:26" ht="12.75">
      <c r="A156" s="141">
        <f>+'SMAW-SMAW'!A156</f>
        <v>139</v>
      </c>
      <c r="B156" s="142">
        <v>8</v>
      </c>
      <c r="C156" s="143">
        <v>219.1</v>
      </c>
      <c r="D156" s="143">
        <v>8.18</v>
      </c>
      <c r="E156" s="144" t="s">
        <v>86</v>
      </c>
      <c r="F156" s="145">
        <f t="shared" si="0"/>
        <v>2</v>
      </c>
      <c r="G156" s="145">
        <f t="shared" si="164"/>
        <v>2</v>
      </c>
      <c r="H156" s="145">
        <f t="shared" si="165"/>
        <v>2</v>
      </c>
      <c r="I156" s="146">
        <f t="shared" si="166"/>
        <v>4.742080785709975</v>
      </c>
      <c r="J156" s="147"/>
      <c r="K156" s="145">
        <f t="shared" si="167"/>
        <v>0</v>
      </c>
      <c r="L156" s="145">
        <f t="shared" si="168"/>
        <v>6</v>
      </c>
      <c r="M156" s="145">
        <f t="shared" si="169"/>
        <v>12.36</v>
      </c>
      <c r="N156" s="145">
        <f t="shared" si="170"/>
        <v>29.306059255687643</v>
      </c>
      <c r="O156" s="145">
        <f t="shared" si="171"/>
        <v>0</v>
      </c>
      <c r="P156" s="145">
        <f t="shared" si="172"/>
        <v>32.9683231428399</v>
      </c>
      <c r="Q156" s="147">
        <f t="shared" si="173"/>
        <v>74.63438239852755</v>
      </c>
      <c r="R156" s="147"/>
      <c r="S156" s="128">
        <f t="shared" si="174"/>
        <v>0.04248765826537298</v>
      </c>
      <c r="T156" s="128">
        <f t="shared" si="175"/>
        <v>0.7610510480500671</v>
      </c>
      <c r="U156" s="145">
        <f t="shared" si="176"/>
        <v>0</v>
      </c>
      <c r="V156" s="145">
        <f t="shared" si="177"/>
        <v>0</v>
      </c>
      <c r="W156" s="128">
        <f t="shared" si="163"/>
        <v>0</v>
      </c>
      <c r="X156" t="str">
        <f t="shared" si="178"/>
        <v>88,18</v>
      </c>
      <c r="Y156" s="151">
        <f t="shared" si="179"/>
        <v>0.04248765826537298</v>
      </c>
      <c r="Z156" s="151">
        <f t="shared" si="180"/>
        <v>0.7610510480500671</v>
      </c>
    </row>
    <row r="157" spans="1:26" ht="12.75">
      <c r="A157" s="141">
        <f>+'SMAW-SMAW'!A157</f>
        <v>140</v>
      </c>
      <c r="B157" s="142">
        <v>8</v>
      </c>
      <c r="C157" s="143">
        <v>219.1</v>
      </c>
      <c r="D157" s="143">
        <v>8.18</v>
      </c>
      <c r="E157" s="144" t="s">
        <v>87</v>
      </c>
      <c r="F157" s="145">
        <f t="shared" si="0"/>
        <v>2</v>
      </c>
      <c r="G157" s="145">
        <f t="shared" si="164"/>
        <v>2</v>
      </c>
      <c r="H157" s="145">
        <f t="shared" si="165"/>
        <v>2</v>
      </c>
      <c r="I157" s="146">
        <f t="shared" si="166"/>
        <v>4.742080785709975</v>
      </c>
      <c r="J157" s="147"/>
      <c r="K157" s="145">
        <f t="shared" si="167"/>
        <v>0</v>
      </c>
      <c r="L157" s="145">
        <f t="shared" si="168"/>
        <v>6</v>
      </c>
      <c r="M157" s="145">
        <f t="shared" si="169"/>
        <v>12.36</v>
      </c>
      <c r="N157" s="145">
        <f t="shared" si="170"/>
        <v>29.306059255687643</v>
      </c>
      <c r="O157" s="145">
        <f t="shared" si="171"/>
        <v>0</v>
      </c>
      <c r="P157" s="145">
        <f t="shared" si="172"/>
        <v>32.9683231428399</v>
      </c>
      <c r="Q157" s="147">
        <f t="shared" si="173"/>
        <v>74.63438239852755</v>
      </c>
      <c r="R157" s="147"/>
      <c r="S157" s="128">
        <f t="shared" si="174"/>
        <v>0.04248765826537298</v>
      </c>
      <c r="T157" s="128">
        <f t="shared" si="175"/>
        <v>0.7610510480500671</v>
      </c>
      <c r="U157" s="145">
        <f t="shared" si="176"/>
        <v>0</v>
      </c>
      <c r="V157" s="145">
        <f t="shared" si="177"/>
        <v>0</v>
      </c>
      <c r="W157" s="128">
        <f t="shared" si="163"/>
        <v>0</v>
      </c>
      <c r="X157" t="str">
        <f t="shared" si="178"/>
        <v>88,18</v>
      </c>
      <c r="Y157" s="151">
        <f t="shared" si="179"/>
        <v>0.04248765826537298</v>
      </c>
      <c r="Z157" s="151">
        <f t="shared" si="180"/>
        <v>0.7610510480500671</v>
      </c>
    </row>
    <row r="158" spans="1:26" ht="12.75">
      <c r="A158" s="141">
        <f>+'SMAW-SMAW'!A158</f>
        <v>141</v>
      </c>
      <c r="B158" s="142">
        <v>8</v>
      </c>
      <c r="C158" s="143">
        <v>219.1</v>
      </c>
      <c r="D158" s="143">
        <v>10.31</v>
      </c>
      <c r="E158" s="144" t="s">
        <v>94</v>
      </c>
      <c r="F158" s="145">
        <f t="shared" si="0"/>
        <v>2</v>
      </c>
      <c r="G158" s="145">
        <f t="shared" si="164"/>
        <v>2</v>
      </c>
      <c r="H158" s="145">
        <f t="shared" si="165"/>
        <v>2</v>
      </c>
      <c r="I158" s="146">
        <f t="shared" si="166"/>
        <v>6.376487270105161</v>
      </c>
      <c r="J158" s="147"/>
      <c r="K158" s="145">
        <f t="shared" si="167"/>
        <v>0</v>
      </c>
      <c r="L158" s="145">
        <f t="shared" si="168"/>
        <v>6</v>
      </c>
      <c r="M158" s="145">
        <f t="shared" si="169"/>
        <v>16.62</v>
      </c>
      <c r="N158" s="145">
        <f t="shared" si="170"/>
        <v>52.98860921457389</v>
      </c>
      <c r="O158" s="145">
        <f t="shared" si="171"/>
        <v>0</v>
      </c>
      <c r="P158" s="145">
        <f t="shared" si="172"/>
        <v>39.50594908042065</v>
      </c>
      <c r="Q158" s="147">
        <f t="shared" si="173"/>
        <v>109.11455829499454</v>
      </c>
      <c r="R158" s="147"/>
      <c r="S158" s="128">
        <f t="shared" si="174"/>
        <v>0.04161217493263384</v>
      </c>
      <c r="T158" s="128">
        <f t="shared" si="175"/>
        <v>1.1071361360021394</v>
      </c>
      <c r="U158" s="145">
        <f t="shared" si="176"/>
        <v>0</v>
      </c>
      <c r="V158" s="145">
        <f t="shared" si="177"/>
        <v>0</v>
      </c>
      <c r="W158" s="128">
        <f t="shared" si="163"/>
        <v>0</v>
      </c>
      <c r="X158" t="str">
        <f t="shared" si="178"/>
        <v>810,31</v>
      </c>
      <c r="Y158" s="151">
        <f t="shared" si="179"/>
        <v>0.04161217493263384</v>
      </c>
      <c r="Z158" s="151">
        <f t="shared" si="180"/>
        <v>1.1071361360021394</v>
      </c>
    </row>
    <row r="159" spans="1:26" ht="12.75">
      <c r="A159" s="141">
        <f>+'SMAW-SMAW'!A159</f>
        <v>142</v>
      </c>
      <c r="B159" s="142">
        <v>8</v>
      </c>
      <c r="C159" s="143">
        <v>219.1</v>
      </c>
      <c r="D159" s="143">
        <v>12.7</v>
      </c>
      <c r="E159" s="144" t="s">
        <v>88</v>
      </c>
      <c r="F159" s="145">
        <f t="shared" si="0"/>
        <v>2</v>
      </c>
      <c r="G159" s="145">
        <f t="shared" si="164"/>
        <v>2</v>
      </c>
      <c r="H159" s="145">
        <f t="shared" si="165"/>
        <v>2</v>
      </c>
      <c r="I159" s="146">
        <f t="shared" si="166"/>
        <v>8.210398771374875</v>
      </c>
      <c r="J159" s="147"/>
      <c r="K159" s="145">
        <f t="shared" si="167"/>
        <v>0</v>
      </c>
      <c r="L159" s="145">
        <f t="shared" si="168"/>
        <v>6</v>
      </c>
      <c r="M159" s="145">
        <f t="shared" si="169"/>
        <v>21.4</v>
      </c>
      <c r="N159" s="145">
        <f t="shared" si="170"/>
        <v>87.85126685371115</v>
      </c>
      <c r="O159" s="145">
        <f t="shared" si="171"/>
        <v>0</v>
      </c>
      <c r="P159" s="145">
        <f t="shared" si="172"/>
        <v>46.8415950854995</v>
      </c>
      <c r="Q159" s="147">
        <f t="shared" si="173"/>
        <v>156.09286193921065</v>
      </c>
      <c r="R159" s="147"/>
      <c r="S159" s="128">
        <f t="shared" si="174"/>
        <v>0.04062982508979509</v>
      </c>
      <c r="T159" s="128">
        <f t="shared" si="175"/>
        <v>1.5749573515468278</v>
      </c>
      <c r="U159" s="145">
        <f t="shared" si="176"/>
        <v>0</v>
      </c>
      <c r="V159" s="145">
        <f t="shared" si="177"/>
        <v>0</v>
      </c>
      <c r="W159" s="128">
        <f t="shared" si="163"/>
        <v>0</v>
      </c>
      <c r="X159" t="str">
        <f t="shared" si="178"/>
        <v>812,7</v>
      </c>
      <c r="Y159" s="151">
        <f t="shared" si="179"/>
        <v>0.04062982508979509</v>
      </c>
      <c r="Z159" s="151">
        <f t="shared" si="180"/>
        <v>1.5749573515468278</v>
      </c>
    </row>
    <row r="160" spans="1:26" ht="12.75">
      <c r="A160" s="141">
        <f>+'SMAW-SMAW'!A160</f>
        <v>143</v>
      </c>
      <c r="B160" s="142">
        <v>8</v>
      </c>
      <c r="C160" s="143">
        <v>219.1</v>
      </c>
      <c r="D160" s="143">
        <v>12.7</v>
      </c>
      <c r="E160" s="144" t="s">
        <v>82</v>
      </c>
      <c r="F160" s="145">
        <f t="shared" si="0"/>
        <v>2</v>
      </c>
      <c r="G160" s="145">
        <f t="shared" si="164"/>
        <v>2</v>
      </c>
      <c r="H160" s="145">
        <f t="shared" si="165"/>
        <v>2</v>
      </c>
      <c r="I160" s="146">
        <f t="shared" si="166"/>
        <v>8.210398771374875</v>
      </c>
      <c r="J160" s="147"/>
      <c r="K160" s="145">
        <f t="shared" si="167"/>
        <v>0</v>
      </c>
      <c r="L160" s="145">
        <f t="shared" si="168"/>
        <v>6</v>
      </c>
      <c r="M160" s="145">
        <f t="shared" si="169"/>
        <v>21.4</v>
      </c>
      <c r="N160" s="145">
        <f t="shared" si="170"/>
        <v>87.85126685371115</v>
      </c>
      <c r="O160" s="145">
        <f t="shared" si="171"/>
        <v>0</v>
      </c>
      <c r="P160" s="145">
        <f t="shared" si="172"/>
        <v>46.8415950854995</v>
      </c>
      <c r="Q160" s="147">
        <f t="shared" si="173"/>
        <v>156.09286193921065</v>
      </c>
      <c r="R160" s="147"/>
      <c r="S160" s="128">
        <f t="shared" si="174"/>
        <v>0.04062982508979509</v>
      </c>
      <c r="T160" s="128">
        <f t="shared" si="175"/>
        <v>1.5749573515468278</v>
      </c>
      <c r="U160" s="145">
        <f t="shared" si="176"/>
        <v>0</v>
      </c>
      <c r="V160" s="145">
        <f t="shared" si="177"/>
        <v>0</v>
      </c>
      <c r="W160" s="128">
        <f t="shared" si="163"/>
        <v>0</v>
      </c>
      <c r="X160" t="str">
        <f t="shared" si="178"/>
        <v>812,7</v>
      </c>
      <c r="Y160" s="151">
        <f t="shared" si="179"/>
        <v>0.04062982508979509</v>
      </c>
      <c r="Z160" s="151">
        <f t="shared" si="180"/>
        <v>1.5749573515468278</v>
      </c>
    </row>
    <row r="161" spans="1:26" ht="12.75">
      <c r="A161" s="141">
        <f>+'SMAW-SMAW'!A161</f>
        <v>144</v>
      </c>
      <c r="B161" s="142">
        <v>8</v>
      </c>
      <c r="C161" s="143">
        <v>219.1</v>
      </c>
      <c r="D161" s="143">
        <v>12.7</v>
      </c>
      <c r="E161" s="144" t="s">
        <v>89</v>
      </c>
      <c r="F161" s="145">
        <f t="shared" si="0"/>
        <v>2</v>
      </c>
      <c r="G161" s="145">
        <f t="shared" si="164"/>
        <v>2</v>
      </c>
      <c r="H161" s="145">
        <f t="shared" si="165"/>
        <v>2</v>
      </c>
      <c r="I161" s="146">
        <f t="shared" si="166"/>
        <v>8.210398771374875</v>
      </c>
      <c r="J161" s="147"/>
      <c r="K161" s="145">
        <f t="shared" si="167"/>
        <v>0</v>
      </c>
      <c r="L161" s="145">
        <f t="shared" si="168"/>
        <v>6</v>
      </c>
      <c r="M161" s="145">
        <f t="shared" si="169"/>
        <v>21.4</v>
      </c>
      <c r="N161" s="145">
        <f t="shared" si="170"/>
        <v>87.85126685371115</v>
      </c>
      <c r="O161" s="145">
        <f t="shared" si="171"/>
        <v>0</v>
      </c>
      <c r="P161" s="145">
        <f t="shared" si="172"/>
        <v>46.8415950854995</v>
      </c>
      <c r="Q161" s="147">
        <f t="shared" si="173"/>
        <v>156.09286193921065</v>
      </c>
      <c r="R161" s="147"/>
      <c r="S161" s="128">
        <f t="shared" si="174"/>
        <v>0.04062982508979509</v>
      </c>
      <c r="T161" s="128">
        <f t="shared" si="175"/>
        <v>1.5749573515468278</v>
      </c>
      <c r="U161" s="145">
        <f t="shared" si="176"/>
        <v>0</v>
      </c>
      <c r="V161" s="145">
        <f t="shared" si="177"/>
        <v>0</v>
      </c>
      <c r="W161" s="128">
        <f t="shared" si="163"/>
        <v>0</v>
      </c>
      <c r="X161" t="str">
        <f t="shared" si="178"/>
        <v>812,7</v>
      </c>
      <c r="Y161" s="151">
        <f t="shared" si="179"/>
        <v>0.04062982508979509</v>
      </c>
      <c r="Z161" s="151">
        <f t="shared" si="180"/>
        <v>1.5749573515468278</v>
      </c>
    </row>
    <row r="162" spans="1:26" ht="12.75">
      <c r="A162" s="141">
        <f>+'SMAW-SMAW'!A162</f>
        <v>145</v>
      </c>
      <c r="B162" s="142">
        <v>8</v>
      </c>
      <c r="C162" s="143">
        <v>219.1</v>
      </c>
      <c r="D162" s="143">
        <v>15.09</v>
      </c>
      <c r="E162" s="144" t="s">
        <v>95</v>
      </c>
      <c r="F162" s="145">
        <f t="shared" si="0"/>
        <v>2</v>
      </c>
      <c r="G162" s="145">
        <f t="shared" si="164"/>
        <v>2</v>
      </c>
      <c r="H162" s="145">
        <f t="shared" si="165"/>
        <v>2</v>
      </c>
      <c r="I162" s="146">
        <f t="shared" si="166"/>
        <v>10.04431027264459</v>
      </c>
      <c r="J162" s="147"/>
      <c r="K162" s="145">
        <f t="shared" si="167"/>
        <v>0</v>
      </c>
      <c r="L162" s="145">
        <f t="shared" si="168"/>
        <v>6</v>
      </c>
      <c r="M162" s="145">
        <f t="shared" si="169"/>
        <v>26.18</v>
      </c>
      <c r="N162" s="145">
        <f t="shared" si="170"/>
        <v>131.4800214689177</v>
      </c>
      <c r="O162" s="145">
        <f t="shared" si="171"/>
        <v>0</v>
      </c>
      <c r="P162" s="145">
        <f t="shared" si="172"/>
        <v>54.17724109057836</v>
      </c>
      <c r="Q162" s="147">
        <f t="shared" si="173"/>
        <v>211.83726255949608</v>
      </c>
      <c r="R162" s="147"/>
      <c r="S162" s="128">
        <f t="shared" si="174"/>
        <v>0.03964747524695634</v>
      </c>
      <c r="T162" s="128">
        <f t="shared" si="175"/>
        <v>2.1254056738653313</v>
      </c>
      <c r="U162" s="145">
        <f t="shared" si="176"/>
        <v>0</v>
      </c>
      <c r="V162" s="145">
        <f t="shared" si="177"/>
        <v>0</v>
      </c>
      <c r="W162" s="128">
        <f t="shared" si="163"/>
        <v>0</v>
      </c>
      <c r="X162" t="str">
        <f t="shared" si="178"/>
        <v>815,09</v>
      </c>
      <c r="Y162" s="151">
        <f t="shared" si="179"/>
        <v>0.03964747524695634</v>
      </c>
      <c r="Z162" s="151">
        <f t="shared" si="180"/>
        <v>2.1254056738653313</v>
      </c>
    </row>
    <row r="163" spans="1:26" ht="12.75">
      <c r="A163" s="141">
        <f>+'SMAW-SMAW'!A163</f>
        <v>146</v>
      </c>
      <c r="B163" s="142">
        <v>8</v>
      </c>
      <c r="C163" s="143">
        <v>219.1</v>
      </c>
      <c r="D163" s="143">
        <v>18.26</v>
      </c>
      <c r="E163" s="144" t="s">
        <v>91</v>
      </c>
      <c r="F163" s="145">
        <f t="shared" si="0"/>
        <v>2</v>
      </c>
      <c r="G163" s="145">
        <f t="shared" si="164"/>
        <v>2</v>
      </c>
      <c r="H163" s="145">
        <f t="shared" si="165"/>
        <v>2</v>
      </c>
      <c r="I163" s="146">
        <f t="shared" si="166"/>
        <v>12.476736824537896</v>
      </c>
      <c r="J163" s="147"/>
      <c r="K163" s="145">
        <f t="shared" si="167"/>
        <v>0</v>
      </c>
      <c r="L163" s="145">
        <f t="shared" si="168"/>
        <v>6</v>
      </c>
      <c r="M163" s="145">
        <f t="shared" si="169"/>
        <v>32.52</v>
      </c>
      <c r="N163" s="145">
        <f t="shared" si="170"/>
        <v>202.87174076698622</v>
      </c>
      <c r="O163" s="145">
        <f t="shared" si="171"/>
        <v>0</v>
      </c>
      <c r="P163" s="145">
        <f t="shared" si="172"/>
        <v>63.906947298151586</v>
      </c>
      <c r="Q163" s="147">
        <f t="shared" si="173"/>
        <v>299.2986880651378</v>
      </c>
      <c r="R163" s="147"/>
      <c r="S163" s="128">
        <f t="shared" si="174"/>
        <v>0.03834452587381876</v>
      </c>
      <c r="T163" s="128">
        <f t="shared" si="175"/>
        <v>2.980425340253163</v>
      </c>
      <c r="U163" s="145">
        <f t="shared" si="176"/>
        <v>0</v>
      </c>
      <c r="V163" s="145">
        <f t="shared" si="177"/>
        <v>0</v>
      </c>
      <c r="W163" s="128">
        <f t="shared" si="163"/>
        <v>0</v>
      </c>
      <c r="X163" t="str">
        <f t="shared" si="178"/>
        <v>818,26</v>
      </c>
      <c r="Y163" s="151">
        <f t="shared" si="179"/>
        <v>0.03834452587381876</v>
      </c>
      <c r="Z163" s="151">
        <f t="shared" si="180"/>
        <v>2.980425340253163</v>
      </c>
    </row>
    <row r="164" spans="1:26" ht="12.75">
      <c r="A164" s="141">
        <f>+'SMAW-SMAW'!A164</f>
        <v>147</v>
      </c>
      <c r="B164" s="142">
        <v>8</v>
      </c>
      <c r="C164" s="143">
        <v>219.1</v>
      </c>
      <c r="D164" s="143">
        <v>20.62</v>
      </c>
      <c r="E164" s="144" t="s">
        <v>96</v>
      </c>
      <c r="F164" s="145">
        <f t="shared" si="0"/>
        <v>2</v>
      </c>
      <c r="G164" s="145">
        <f t="shared" si="164"/>
        <v>2</v>
      </c>
      <c r="H164" s="145">
        <f t="shared" si="165"/>
        <v>3</v>
      </c>
      <c r="I164" s="146">
        <f t="shared" si="166"/>
        <v>13.044558795642326</v>
      </c>
      <c r="J164" s="147"/>
      <c r="K164" s="145">
        <f t="shared" si="167"/>
        <v>0.28564970874771345</v>
      </c>
      <c r="L164" s="145">
        <f t="shared" si="168"/>
        <v>6</v>
      </c>
      <c r="M164" s="145">
        <f t="shared" si="169"/>
        <v>37.24</v>
      </c>
      <c r="N164" s="145">
        <f t="shared" si="170"/>
        <v>221.75749952591954</v>
      </c>
      <c r="O164" s="145">
        <f t="shared" si="171"/>
        <v>42.72712302605245</v>
      </c>
      <c r="P164" s="145">
        <f t="shared" si="172"/>
        <v>100.98125102634023</v>
      </c>
      <c r="Q164" s="147">
        <f t="shared" si="173"/>
        <v>402.7058735783122</v>
      </c>
      <c r="R164" s="147"/>
      <c r="S164" s="128">
        <f t="shared" si="174"/>
        <v>0.03737450678214534</v>
      </c>
      <c r="T164" s="128">
        <f t="shared" si="175"/>
        <v>3.987620720842521</v>
      </c>
      <c r="U164" s="145">
        <f t="shared" si="176"/>
        <v>0</v>
      </c>
      <c r="V164" s="145">
        <f t="shared" si="177"/>
        <v>0</v>
      </c>
      <c r="W164" s="128">
        <f t="shared" si="163"/>
        <v>0</v>
      </c>
      <c r="X164" t="str">
        <f t="shared" si="178"/>
        <v>820,62</v>
      </c>
      <c r="Y164" s="151">
        <f t="shared" si="179"/>
        <v>0.03737450678214534</v>
      </c>
      <c r="Z164" s="151">
        <f t="shared" si="180"/>
        <v>3.987620720842521</v>
      </c>
    </row>
    <row r="165" spans="1:26" ht="12.75">
      <c r="A165" s="141">
        <f>+'SMAW-SMAW'!A165</f>
        <v>148</v>
      </c>
      <c r="B165" s="142">
        <v>8</v>
      </c>
      <c r="C165" s="143">
        <v>219.1</v>
      </c>
      <c r="D165" s="143">
        <v>23.01</v>
      </c>
      <c r="E165" s="144" t="s">
        <v>90</v>
      </c>
      <c r="F165" s="145">
        <f t="shared" si="0"/>
        <v>2</v>
      </c>
      <c r="G165" s="145">
        <f t="shared" si="164"/>
        <v>2</v>
      </c>
      <c r="H165" s="145">
        <f t="shared" si="165"/>
        <v>3</v>
      </c>
      <c r="I165" s="146">
        <f t="shared" si="166"/>
        <v>13.044558795642326</v>
      </c>
      <c r="J165" s="147"/>
      <c r="K165" s="145">
        <f t="shared" si="167"/>
        <v>0.7070711926409449</v>
      </c>
      <c r="L165" s="145">
        <f t="shared" si="168"/>
        <v>6</v>
      </c>
      <c r="M165" s="145">
        <f t="shared" si="169"/>
        <v>42.02</v>
      </c>
      <c r="N165" s="145">
        <f t="shared" si="170"/>
        <v>221.75749952591954</v>
      </c>
      <c r="O165" s="145">
        <f t="shared" si="171"/>
        <v>107.45271702354168</v>
      </c>
      <c r="P165" s="145">
        <f t="shared" si="172"/>
        <v>103.50977992969962</v>
      </c>
      <c r="Q165" s="147">
        <f t="shared" si="173"/>
        <v>474.7399964791609</v>
      </c>
      <c r="R165" s="147"/>
      <c r="S165" s="128">
        <f t="shared" si="174"/>
        <v>0.0363921569393066</v>
      </c>
      <c r="T165" s="128">
        <f t="shared" si="175"/>
        <v>4.6740020356637615</v>
      </c>
      <c r="U165" s="145">
        <f t="shared" si="176"/>
        <v>0</v>
      </c>
      <c r="V165" s="145">
        <f t="shared" si="177"/>
        <v>0</v>
      </c>
      <c r="W165" s="128">
        <f t="shared" si="163"/>
        <v>0</v>
      </c>
      <c r="X165" t="str">
        <f t="shared" si="178"/>
        <v>823,01</v>
      </c>
      <c r="Y165" s="151">
        <f t="shared" si="179"/>
        <v>0.0363921569393066</v>
      </c>
      <c r="Z165" s="151">
        <f t="shared" si="180"/>
        <v>4.6740020356637615</v>
      </c>
    </row>
    <row r="166" spans="1:26" ht="12.75">
      <c r="A166" s="141">
        <f>+'SMAW-SMAW'!A166</f>
        <v>149</v>
      </c>
      <c r="B166" s="142">
        <v>8</v>
      </c>
      <c r="C166" s="143">
        <v>219.1</v>
      </c>
      <c r="D166" s="143">
        <v>22.221</v>
      </c>
      <c r="E166" s="144" t="s">
        <v>83</v>
      </c>
      <c r="F166" s="145">
        <f t="shared" si="0"/>
        <v>2</v>
      </c>
      <c r="G166" s="145">
        <f t="shared" si="164"/>
        <v>2</v>
      </c>
      <c r="H166" s="145">
        <f t="shared" si="165"/>
        <v>3</v>
      </c>
      <c r="I166" s="146">
        <f t="shared" si="166"/>
        <v>13.044558795642326</v>
      </c>
      <c r="J166" s="147"/>
      <c r="K166" s="145">
        <f t="shared" si="167"/>
        <v>0.5679492048619657</v>
      </c>
      <c r="L166" s="145">
        <f t="shared" si="168"/>
        <v>6</v>
      </c>
      <c r="M166" s="145">
        <f t="shared" si="169"/>
        <v>40.442</v>
      </c>
      <c r="N166" s="145">
        <f t="shared" si="170"/>
        <v>221.75749952591954</v>
      </c>
      <c r="O166" s="145">
        <f t="shared" si="171"/>
        <v>85.86241215038827</v>
      </c>
      <c r="P166" s="145">
        <f t="shared" si="172"/>
        <v>102.67504800302575</v>
      </c>
      <c r="Q166" s="147">
        <f t="shared" si="173"/>
        <v>450.7369596793335</v>
      </c>
      <c r="R166" s="147"/>
      <c r="S166" s="128">
        <f t="shared" si="174"/>
        <v>0.03671645569495504</v>
      </c>
      <c r="T166" s="128">
        <f t="shared" si="175"/>
        <v>4.4461157779869716</v>
      </c>
      <c r="U166" s="145">
        <f t="shared" si="176"/>
        <v>0</v>
      </c>
      <c r="V166" s="145">
        <f t="shared" si="177"/>
        <v>0</v>
      </c>
      <c r="W166" s="128">
        <f t="shared" si="163"/>
        <v>0</v>
      </c>
      <c r="X166" t="str">
        <f t="shared" si="178"/>
        <v>822,221</v>
      </c>
      <c r="Y166" s="151">
        <f t="shared" si="179"/>
        <v>0.03671645569495504</v>
      </c>
      <c r="Z166" s="151">
        <f t="shared" si="180"/>
        <v>4.4461157779869716</v>
      </c>
    </row>
    <row r="167" spans="1:26" ht="12.75">
      <c r="A167" s="141">
        <f>+'SMAW-SMAW'!A167</f>
        <v>150</v>
      </c>
      <c r="B167" s="142"/>
      <c r="C167" s="143"/>
      <c r="D167" s="143"/>
      <c r="E167" s="144"/>
      <c r="F167" s="145"/>
      <c r="G167" s="145">
        <f t="shared" si="164"/>
        <v>0</v>
      </c>
      <c r="H167" s="145"/>
      <c r="I167" s="146"/>
      <c r="J167" s="147"/>
      <c r="K167" s="145"/>
      <c r="L167" s="145"/>
      <c r="M167" s="145"/>
      <c r="N167" s="145"/>
      <c r="O167" s="145"/>
      <c r="P167" s="145"/>
      <c r="Q167" s="147"/>
      <c r="R167" s="147"/>
      <c r="S167" s="128"/>
      <c r="T167" s="128"/>
      <c r="U167" s="145"/>
      <c r="V167" s="145"/>
      <c r="W167" s="128">
        <f t="shared" si="163"/>
        <v>0</v>
      </c>
      <c r="X167">
        <f t="shared" si="178"/>
      </c>
      <c r="Y167" s="151">
        <f t="shared" si="179"/>
        <v>0</v>
      </c>
      <c r="Z167" s="151">
        <f t="shared" si="180"/>
        <v>0</v>
      </c>
    </row>
    <row r="168" spans="1:26" ht="12.75">
      <c r="A168" s="141">
        <f>+'SMAW-SMAW'!A168</f>
        <v>151</v>
      </c>
      <c r="B168" s="142">
        <v>10</v>
      </c>
      <c r="C168" s="143">
        <v>273</v>
      </c>
      <c r="D168" s="143">
        <v>3.4</v>
      </c>
      <c r="E168" s="144" t="s">
        <v>81</v>
      </c>
      <c r="F168" s="145">
        <f t="shared" si="0"/>
        <v>2</v>
      </c>
      <c r="G168" s="145">
        <f t="shared" si="164"/>
        <v>2</v>
      </c>
      <c r="H168" s="145">
        <f>IF(D168&lt;=19,2,3)</f>
        <v>2</v>
      </c>
      <c r="I168" s="146">
        <f>IF(D168&lt;=19,(D168-G168)*TAN($C$8*PI()/180),(19-G168)*TAN($C$8*PI()/180))</f>
        <v>1.0742577831705444</v>
      </c>
      <c r="J168" s="147"/>
      <c r="K168" s="145">
        <f>IF(D168&lt;=19,0,(D168-19)*TAN($C$10*PI()/180))</f>
        <v>0</v>
      </c>
      <c r="L168" s="145">
        <f>+F168*(G168*1.5)</f>
        <v>6</v>
      </c>
      <c r="M168" s="145">
        <f>+F168*(D168-G168)</f>
        <v>2.8</v>
      </c>
      <c r="N168" s="145">
        <f>IF(D168&lt;=19,(D168-G168)*I168,(19-G168)*I168)</f>
        <v>1.503960896438762</v>
      </c>
      <c r="O168" s="145">
        <f>IF(D168&lt;=19,0,(I168*(D168-19)*2)+((K168)*(D168-19)))</f>
        <v>0</v>
      </c>
      <c r="P168" s="145">
        <f>+(5+F168+(2*(I168+K168)))*H168</f>
        <v>18.29703113268218</v>
      </c>
      <c r="Q168" s="147">
        <f>SUM(M168:P168)</f>
        <v>22.60099202912094</v>
      </c>
      <c r="R168" s="147"/>
      <c r="S168" s="128">
        <f>IF(D$6=1,(PI()*(C168-(2*D168)+(2*G168))*L168*0.1*0.01*7.85*0.001/(S$16*S$17)),0)</f>
        <v>0.05552948274791418</v>
      </c>
      <c r="T168" s="128">
        <f>IF(D$6=1,(PI()*(C168-(0.5*D168))*(Q168)*0.1*0.01*7.85*0.001/(T$16*T$17)),0)</f>
        <v>0.29079938364496183</v>
      </c>
      <c r="U168" s="145">
        <f>IF(D$6=1,0,(PI()*(C168-(2*D168)+(2*G168))*L168*0.1*0.01*7.85*0.001/(U$16*U$17)))</f>
        <v>0</v>
      </c>
      <c r="V168" s="145">
        <f>IF(D$6=1,0,(PI()*(C168-(0.5*D168))*(Q168)*0.1*0.01*7.85*0.001/(V$16*V$17)))</f>
        <v>0</v>
      </c>
      <c r="W168" s="128">
        <f t="shared" si="163"/>
        <v>0</v>
      </c>
      <c r="X168" t="str">
        <f t="shared" si="178"/>
        <v>103,4</v>
      </c>
      <c r="Y168" s="151">
        <f t="shared" si="179"/>
        <v>0.05552948274791418</v>
      </c>
      <c r="Z168" s="151">
        <f t="shared" si="180"/>
        <v>0.29079938364496183</v>
      </c>
    </row>
    <row r="169" spans="1:26" ht="12.75">
      <c r="A169" s="141">
        <f>+'SMAW-SMAW'!A169</f>
        <v>152</v>
      </c>
      <c r="B169" s="142">
        <v>10</v>
      </c>
      <c r="C169" s="143">
        <v>273</v>
      </c>
      <c r="D169" s="143">
        <v>4.19</v>
      </c>
      <c r="E169" s="144" t="s">
        <v>84</v>
      </c>
      <c r="F169" s="145">
        <f t="shared" si="0"/>
        <v>2</v>
      </c>
      <c r="G169" s="145">
        <f t="shared" si="164"/>
        <v>2</v>
      </c>
      <c r="H169" s="145">
        <f aca="true" t="shared" si="181" ref="H169:H183">IF(D169&lt;=19,2,3)</f>
        <v>2</v>
      </c>
      <c r="I169" s="146">
        <f aca="true" t="shared" si="182" ref="I169:I183">IF(D169&lt;=19,(D169-G169)*TAN($C$8*PI()/180),(19-G169)*TAN($C$8*PI()/180))</f>
        <v>1.6804461036739236</v>
      </c>
      <c r="J169" s="147"/>
      <c r="K169" s="145">
        <f aca="true" t="shared" si="183" ref="K169:K183">IF(D169&lt;=19,0,(D169-19)*TAN($C$10*PI()/180))</f>
        <v>0</v>
      </c>
      <c r="L169" s="145">
        <f aca="true" t="shared" si="184" ref="L169:L183">+F169*(G169*1.5)</f>
        <v>6</v>
      </c>
      <c r="M169" s="145">
        <f aca="true" t="shared" si="185" ref="M169:M183">+F169*(D169-G169)</f>
        <v>4.380000000000001</v>
      </c>
      <c r="N169" s="145">
        <f aca="true" t="shared" si="186" ref="N169:N183">IF(D169&lt;=19,(D169-G169)*I169,(19-G169)*I169)</f>
        <v>3.680176967045893</v>
      </c>
      <c r="O169" s="145">
        <f aca="true" t="shared" si="187" ref="O169:O183">IF(D169&lt;=19,0,(I169*(D169-19)*2)+((K169)*(D169-19)))</f>
        <v>0</v>
      </c>
      <c r="P169" s="145">
        <f aca="true" t="shared" si="188" ref="P169:P183">+(5+F169+(2*(I169+K169)))*H169</f>
        <v>20.721784414695694</v>
      </c>
      <c r="Q169" s="147">
        <f aca="true" t="shared" si="189" ref="Q169:Q183">SUM(M169:P169)</f>
        <v>28.78196138174159</v>
      </c>
      <c r="R169" s="147"/>
      <c r="S169" s="128">
        <f aca="true" t="shared" si="190" ref="S169:S183">IF(D$6=1,(PI()*(C169-(2*D169)+(2*G169))*L169*0.1*0.01*7.85*0.001/(S$16*S$17)),0)</f>
        <v>0.055204772967226895</v>
      </c>
      <c r="T169" s="128">
        <f aca="true" t="shared" si="191" ref="T169:T183">IF(D$6=1,(PI()*(C169-(0.5*D169))*(Q169)*0.1*0.01*7.85*0.001/(T$16*T$17)),0)</f>
        <v>0.36978866322548615</v>
      </c>
      <c r="U169" s="145">
        <f aca="true" t="shared" si="192" ref="U169:U183">IF(D$6=1,0,(PI()*(C169-(2*D169)+(2*G169))*L169*0.1*0.01*7.85*0.001/(U$16*U$17)))</f>
        <v>0</v>
      </c>
      <c r="V169" s="145">
        <f aca="true" t="shared" si="193" ref="V169:V183">IF(D$6=1,0,(PI()*(C169-(0.5*D169))*(Q169)*0.1*0.01*7.85*0.001/(V$16*V$17)))</f>
        <v>0</v>
      </c>
      <c r="W169" s="128">
        <f t="shared" si="163"/>
        <v>0</v>
      </c>
      <c r="X169" t="str">
        <f t="shared" si="178"/>
        <v>104,19</v>
      </c>
      <c r="Y169" s="151">
        <f t="shared" si="179"/>
        <v>0.055204772967226895</v>
      </c>
      <c r="Z169" s="151">
        <f t="shared" si="180"/>
        <v>0.36978866322548615</v>
      </c>
    </row>
    <row r="170" spans="1:26" ht="12.75">
      <c r="A170" s="141">
        <f>+'SMAW-SMAW'!A170</f>
        <v>153</v>
      </c>
      <c r="B170" s="142">
        <v>10</v>
      </c>
      <c r="C170" s="143">
        <v>273</v>
      </c>
      <c r="D170" s="143">
        <v>6.35</v>
      </c>
      <c r="E170" s="144" t="s">
        <v>92</v>
      </c>
      <c r="F170" s="145">
        <f t="shared" si="0"/>
        <v>2</v>
      </c>
      <c r="G170" s="145">
        <f t="shared" si="164"/>
        <v>2</v>
      </c>
      <c r="H170" s="145">
        <f t="shared" si="181"/>
        <v>2</v>
      </c>
      <c r="I170" s="146">
        <f t="shared" si="182"/>
        <v>3.337872397708477</v>
      </c>
      <c r="J170" s="147"/>
      <c r="K170" s="145">
        <f t="shared" si="183"/>
        <v>0</v>
      </c>
      <c r="L170" s="145">
        <f t="shared" si="184"/>
        <v>6</v>
      </c>
      <c r="M170" s="145">
        <f t="shared" si="185"/>
        <v>8.7</v>
      </c>
      <c r="N170" s="145">
        <f t="shared" si="186"/>
        <v>14.519744930031875</v>
      </c>
      <c r="O170" s="145">
        <f t="shared" si="187"/>
        <v>0</v>
      </c>
      <c r="P170" s="145">
        <f t="shared" si="188"/>
        <v>27.351489590833907</v>
      </c>
      <c r="Q170" s="147">
        <f t="shared" si="189"/>
        <v>50.57123452086578</v>
      </c>
      <c r="R170" s="147"/>
      <c r="S170" s="128">
        <f t="shared" si="190"/>
        <v>0.05431695888332242</v>
      </c>
      <c r="T170" s="128">
        <f t="shared" si="191"/>
        <v>0.6471454873121268</v>
      </c>
      <c r="U170" s="145">
        <f t="shared" si="192"/>
        <v>0</v>
      </c>
      <c r="V170" s="145">
        <f t="shared" si="193"/>
        <v>0</v>
      </c>
      <c r="W170" s="128">
        <f t="shared" si="163"/>
        <v>0</v>
      </c>
      <c r="X170" t="str">
        <f t="shared" si="178"/>
        <v>106,35</v>
      </c>
      <c r="Y170" s="151">
        <f t="shared" si="179"/>
        <v>0.05431695888332242</v>
      </c>
      <c r="Z170" s="151">
        <f t="shared" si="180"/>
        <v>0.6471454873121268</v>
      </c>
    </row>
    <row r="171" spans="1:26" ht="12.75">
      <c r="A171" s="141">
        <f>+'SMAW-SMAW'!A171</f>
        <v>154</v>
      </c>
      <c r="B171" s="142">
        <v>10</v>
      </c>
      <c r="C171" s="143">
        <v>273</v>
      </c>
      <c r="D171" s="143">
        <v>7.8</v>
      </c>
      <c r="E171" s="144" t="s">
        <v>93</v>
      </c>
      <c r="F171" s="145">
        <f t="shared" si="0"/>
        <v>2</v>
      </c>
      <c r="G171" s="145">
        <f t="shared" si="164"/>
        <v>2</v>
      </c>
      <c r="H171" s="145">
        <f t="shared" si="181"/>
        <v>2</v>
      </c>
      <c r="I171" s="146">
        <f t="shared" si="182"/>
        <v>4.45049653027797</v>
      </c>
      <c r="J171" s="147"/>
      <c r="K171" s="145">
        <f t="shared" si="183"/>
        <v>0</v>
      </c>
      <c r="L171" s="145">
        <f t="shared" si="184"/>
        <v>6</v>
      </c>
      <c r="M171" s="145">
        <f t="shared" si="185"/>
        <v>11.6</v>
      </c>
      <c r="N171" s="145">
        <f t="shared" si="186"/>
        <v>25.812879875612225</v>
      </c>
      <c r="O171" s="145">
        <f t="shared" si="187"/>
        <v>0</v>
      </c>
      <c r="P171" s="145">
        <f t="shared" si="188"/>
        <v>31.80198612111188</v>
      </c>
      <c r="Q171" s="147">
        <f t="shared" si="189"/>
        <v>69.21486599672411</v>
      </c>
      <c r="R171" s="147"/>
      <c r="S171" s="128">
        <f t="shared" si="190"/>
        <v>0.053720972576997664</v>
      </c>
      <c r="T171" s="128">
        <f t="shared" si="191"/>
        <v>0.883342784682132</v>
      </c>
      <c r="U171" s="145">
        <f t="shared" si="192"/>
        <v>0</v>
      </c>
      <c r="V171" s="145">
        <f t="shared" si="193"/>
        <v>0</v>
      </c>
      <c r="W171" s="128">
        <f t="shared" si="163"/>
        <v>0</v>
      </c>
      <c r="X171" t="str">
        <f t="shared" si="178"/>
        <v>107,8</v>
      </c>
      <c r="Y171" s="151">
        <f t="shared" si="179"/>
        <v>0.053720972576997664</v>
      </c>
      <c r="Z171" s="151">
        <f t="shared" si="180"/>
        <v>0.883342784682132</v>
      </c>
    </row>
    <row r="172" spans="1:26" ht="12.75">
      <c r="A172" s="141">
        <f>+'SMAW-SMAW'!A172</f>
        <v>155</v>
      </c>
      <c r="B172" s="142">
        <v>10</v>
      </c>
      <c r="C172" s="143">
        <v>273</v>
      </c>
      <c r="D172" s="143">
        <v>9.27</v>
      </c>
      <c r="E172" s="144" t="s">
        <v>85</v>
      </c>
      <c r="F172" s="145">
        <f t="shared" si="0"/>
        <v>2</v>
      </c>
      <c r="G172" s="145">
        <f t="shared" si="164"/>
        <v>2</v>
      </c>
      <c r="H172" s="145">
        <f t="shared" si="181"/>
        <v>2</v>
      </c>
      <c r="I172" s="146">
        <f t="shared" si="182"/>
        <v>5.578467202607041</v>
      </c>
      <c r="J172" s="147"/>
      <c r="K172" s="145">
        <f t="shared" si="183"/>
        <v>0</v>
      </c>
      <c r="L172" s="145">
        <f t="shared" si="184"/>
        <v>6</v>
      </c>
      <c r="M172" s="145">
        <f t="shared" si="185"/>
        <v>14.54</v>
      </c>
      <c r="N172" s="145">
        <f t="shared" si="186"/>
        <v>40.55545656295319</v>
      </c>
      <c r="O172" s="145">
        <f t="shared" si="187"/>
        <v>0</v>
      </c>
      <c r="P172" s="145">
        <f t="shared" si="188"/>
        <v>36.31386881042816</v>
      </c>
      <c r="Q172" s="147">
        <f t="shared" si="189"/>
        <v>91.40932537338135</v>
      </c>
      <c r="R172" s="147"/>
      <c r="S172" s="128">
        <f t="shared" si="190"/>
        <v>0.053116765769896004</v>
      </c>
      <c r="T172" s="128">
        <f t="shared" si="191"/>
        <v>1.1634093889227843</v>
      </c>
      <c r="U172" s="145">
        <f t="shared" si="192"/>
        <v>0</v>
      </c>
      <c r="V172" s="145">
        <f t="shared" si="193"/>
        <v>0</v>
      </c>
      <c r="W172" s="128">
        <f t="shared" si="163"/>
        <v>0</v>
      </c>
      <c r="X172" t="str">
        <f t="shared" si="178"/>
        <v>109,27</v>
      </c>
      <c r="Y172" s="151">
        <f t="shared" si="179"/>
        <v>0.053116765769896004</v>
      </c>
      <c r="Z172" s="151">
        <f t="shared" si="180"/>
        <v>1.1634093889227843</v>
      </c>
    </row>
    <row r="173" spans="1:26" ht="12.75">
      <c r="A173" s="141">
        <f>+'SMAW-SMAW'!A173</f>
        <v>156</v>
      </c>
      <c r="B173" s="142">
        <v>10</v>
      </c>
      <c r="C173" s="143">
        <v>273</v>
      </c>
      <c r="D173" s="143">
        <v>9.27</v>
      </c>
      <c r="E173" s="144" t="s">
        <v>86</v>
      </c>
      <c r="F173" s="145">
        <f t="shared" si="0"/>
        <v>2</v>
      </c>
      <c r="G173" s="145">
        <f t="shared" si="164"/>
        <v>2</v>
      </c>
      <c r="H173" s="145">
        <f t="shared" si="181"/>
        <v>2</v>
      </c>
      <c r="I173" s="146">
        <f t="shared" si="182"/>
        <v>5.578467202607041</v>
      </c>
      <c r="J173" s="147"/>
      <c r="K173" s="145">
        <f t="shared" si="183"/>
        <v>0</v>
      </c>
      <c r="L173" s="145">
        <f t="shared" si="184"/>
        <v>6</v>
      </c>
      <c r="M173" s="145">
        <f t="shared" si="185"/>
        <v>14.54</v>
      </c>
      <c r="N173" s="145">
        <f t="shared" si="186"/>
        <v>40.55545656295319</v>
      </c>
      <c r="O173" s="145">
        <f t="shared" si="187"/>
        <v>0</v>
      </c>
      <c r="P173" s="145">
        <f t="shared" si="188"/>
        <v>36.31386881042816</v>
      </c>
      <c r="Q173" s="147">
        <f t="shared" si="189"/>
        <v>91.40932537338135</v>
      </c>
      <c r="R173" s="147"/>
      <c r="S173" s="128">
        <f t="shared" si="190"/>
        <v>0.053116765769896004</v>
      </c>
      <c r="T173" s="128">
        <f t="shared" si="191"/>
        <v>1.1634093889227843</v>
      </c>
      <c r="U173" s="145">
        <f t="shared" si="192"/>
        <v>0</v>
      </c>
      <c r="V173" s="145">
        <f t="shared" si="193"/>
        <v>0</v>
      </c>
      <c r="W173" s="128">
        <f t="shared" si="163"/>
        <v>0</v>
      </c>
      <c r="X173" t="str">
        <f t="shared" si="178"/>
        <v>109,27</v>
      </c>
      <c r="Y173" s="151">
        <f t="shared" si="179"/>
        <v>0.053116765769896004</v>
      </c>
      <c r="Z173" s="151">
        <f t="shared" si="180"/>
        <v>1.1634093889227843</v>
      </c>
    </row>
    <row r="174" spans="1:26" ht="12.75">
      <c r="A174" s="141">
        <f>+'SMAW-SMAW'!A174</f>
        <v>157</v>
      </c>
      <c r="B174" s="142">
        <v>10</v>
      </c>
      <c r="C174" s="143">
        <v>273</v>
      </c>
      <c r="D174" s="143">
        <v>9.27</v>
      </c>
      <c r="E174" s="144" t="s">
        <v>87</v>
      </c>
      <c r="F174" s="145">
        <f t="shared" si="0"/>
        <v>2</v>
      </c>
      <c r="G174" s="145">
        <f t="shared" si="164"/>
        <v>2</v>
      </c>
      <c r="H174" s="145">
        <f t="shared" si="181"/>
        <v>2</v>
      </c>
      <c r="I174" s="146">
        <f t="shared" si="182"/>
        <v>5.578467202607041</v>
      </c>
      <c r="J174" s="147"/>
      <c r="K174" s="145">
        <f t="shared" si="183"/>
        <v>0</v>
      </c>
      <c r="L174" s="145">
        <f t="shared" si="184"/>
        <v>6</v>
      </c>
      <c r="M174" s="145">
        <f t="shared" si="185"/>
        <v>14.54</v>
      </c>
      <c r="N174" s="145">
        <f t="shared" si="186"/>
        <v>40.55545656295319</v>
      </c>
      <c r="O174" s="145">
        <f t="shared" si="187"/>
        <v>0</v>
      </c>
      <c r="P174" s="145">
        <f t="shared" si="188"/>
        <v>36.31386881042816</v>
      </c>
      <c r="Q174" s="147">
        <f t="shared" si="189"/>
        <v>91.40932537338135</v>
      </c>
      <c r="R174" s="147"/>
      <c r="S174" s="128">
        <f t="shared" si="190"/>
        <v>0.053116765769896004</v>
      </c>
      <c r="T174" s="128">
        <f t="shared" si="191"/>
        <v>1.1634093889227843</v>
      </c>
      <c r="U174" s="145">
        <f t="shared" si="192"/>
        <v>0</v>
      </c>
      <c r="V174" s="145">
        <f t="shared" si="193"/>
        <v>0</v>
      </c>
      <c r="W174" s="128">
        <f t="shared" si="163"/>
        <v>0</v>
      </c>
      <c r="X174" t="str">
        <f t="shared" si="178"/>
        <v>109,27</v>
      </c>
      <c r="Y174" s="151">
        <f t="shared" si="179"/>
        <v>0.053116765769896004</v>
      </c>
      <c r="Z174" s="151">
        <f t="shared" si="180"/>
        <v>1.1634093889227843</v>
      </c>
    </row>
    <row r="175" spans="1:26" ht="12.75">
      <c r="A175" s="141">
        <f>+'SMAW-SMAW'!A175</f>
        <v>158</v>
      </c>
      <c r="B175" s="142">
        <v>10</v>
      </c>
      <c r="C175" s="143">
        <v>273</v>
      </c>
      <c r="D175" s="143">
        <v>12.7</v>
      </c>
      <c r="E175" s="144" t="s">
        <v>94</v>
      </c>
      <c r="F175" s="145">
        <f t="shared" si="0"/>
        <v>2</v>
      </c>
      <c r="G175" s="145">
        <f t="shared" si="164"/>
        <v>2</v>
      </c>
      <c r="H175" s="145">
        <f t="shared" si="181"/>
        <v>2</v>
      </c>
      <c r="I175" s="146">
        <f t="shared" si="182"/>
        <v>8.210398771374875</v>
      </c>
      <c r="J175" s="147"/>
      <c r="K175" s="145">
        <f t="shared" si="183"/>
        <v>0</v>
      </c>
      <c r="L175" s="145">
        <f t="shared" si="184"/>
        <v>6</v>
      </c>
      <c r="M175" s="145">
        <f t="shared" si="185"/>
        <v>21.4</v>
      </c>
      <c r="N175" s="145">
        <f t="shared" si="186"/>
        <v>87.85126685371115</v>
      </c>
      <c r="O175" s="145">
        <f t="shared" si="187"/>
        <v>0</v>
      </c>
      <c r="P175" s="145">
        <f t="shared" si="188"/>
        <v>46.8415950854995</v>
      </c>
      <c r="Q175" s="147">
        <f t="shared" si="189"/>
        <v>156.09286193921065</v>
      </c>
      <c r="R175" s="147"/>
      <c r="S175" s="128">
        <f t="shared" si="190"/>
        <v>0.0517069498866588</v>
      </c>
      <c r="T175" s="128">
        <f t="shared" si="191"/>
        <v>1.9739712234545788</v>
      </c>
      <c r="U175" s="145">
        <f t="shared" si="192"/>
        <v>0</v>
      </c>
      <c r="V175" s="145">
        <f t="shared" si="193"/>
        <v>0</v>
      </c>
      <c r="W175" s="128">
        <f t="shared" si="163"/>
        <v>0</v>
      </c>
      <c r="X175" t="str">
        <f t="shared" si="178"/>
        <v>1012,7</v>
      </c>
      <c r="Y175" s="151">
        <f t="shared" si="179"/>
        <v>0.0517069498866588</v>
      </c>
      <c r="Z175" s="151">
        <f t="shared" si="180"/>
        <v>1.9739712234545788</v>
      </c>
    </row>
    <row r="176" spans="1:26" ht="12.75">
      <c r="A176" s="141">
        <f>+'SMAW-SMAW'!A176</f>
        <v>159</v>
      </c>
      <c r="B176" s="142">
        <v>10</v>
      </c>
      <c r="C176" s="143">
        <v>273</v>
      </c>
      <c r="D176" s="143">
        <v>12.7</v>
      </c>
      <c r="E176" s="144" t="s">
        <v>88</v>
      </c>
      <c r="F176" s="145">
        <f t="shared" si="0"/>
        <v>2</v>
      </c>
      <c r="G176" s="145">
        <f t="shared" si="164"/>
        <v>2</v>
      </c>
      <c r="H176" s="145">
        <f t="shared" si="181"/>
        <v>2</v>
      </c>
      <c r="I176" s="146">
        <f t="shared" si="182"/>
        <v>8.210398771374875</v>
      </c>
      <c r="J176" s="147"/>
      <c r="K176" s="145">
        <f t="shared" si="183"/>
        <v>0</v>
      </c>
      <c r="L176" s="145">
        <f t="shared" si="184"/>
        <v>6</v>
      </c>
      <c r="M176" s="145">
        <f t="shared" si="185"/>
        <v>21.4</v>
      </c>
      <c r="N176" s="145">
        <f t="shared" si="186"/>
        <v>87.85126685371115</v>
      </c>
      <c r="O176" s="145">
        <f t="shared" si="187"/>
        <v>0</v>
      </c>
      <c r="P176" s="145">
        <f t="shared" si="188"/>
        <v>46.8415950854995</v>
      </c>
      <c r="Q176" s="147">
        <f t="shared" si="189"/>
        <v>156.09286193921065</v>
      </c>
      <c r="R176" s="147"/>
      <c r="S176" s="128">
        <f t="shared" si="190"/>
        <v>0.0517069498866588</v>
      </c>
      <c r="T176" s="128">
        <f t="shared" si="191"/>
        <v>1.9739712234545788</v>
      </c>
      <c r="U176" s="145">
        <f t="shared" si="192"/>
        <v>0</v>
      </c>
      <c r="V176" s="145">
        <f t="shared" si="193"/>
        <v>0</v>
      </c>
      <c r="W176" s="128">
        <f t="shared" si="163"/>
        <v>0</v>
      </c>
      <c r="X176" t="str">
        <f t="shared" si="178"/>
        <v>1012,7</v>
      </c>
      <c r="Y176" s="151">
        <f t="shared" si="179"/>
        <v>0.0517069498866588</v>
      </c>
      <c r="Z176" s="151">
        <f t="shared" si="180"/>
        <v>1.9739712234545788</v>
      </c>
    </row>
    <row r="177" spans="1:26" ht="12.75">
      <c r="A177" s="141">
        <f>+'SMAW-SMAW'!A177</f>
        <v>160</v>
      </c>
      <c r="B177" s="142">
        <v>10</v>
      </c>
      <c r="C177" s="143">
        <v>273</v>
      </c>
      <c r="D177" s="143">
        <v>12.7</v>
      </c>
      <c r="E177" s="144" t="s">
        <v>82</v>
      </c>
      <c r="F177" s="145">
        <f t="shared" si="0"/>
        <v>2</v>
      </c>
      <c r="G177" s="145">
        <f t="shared" si="164"/>
        <v>2</v>
      </c>
      <c r="H177" s="145">
        <f t="shared" si="181"/>
        <v>2</v>
      </c>
      <c r="I177" s="146">
        <f t="shared" si="182"/>
        <v>8.210398771374875</v>
      </c>
      <c r="J177" s="147"/>
      <c r="K177" s="145">
        <f t="shared" si="183"/>
        <v>0</v>
      </c>
      <c r="L177" s="145">
        <f t="shared" si="184"/>
        <v>6</v>
      </c>
      <c r="M177" s="145">
        <f t="shared" si="185"/>
        <v>21.4</v>
      </c>
      <c r="N177" s="145">
        <f t="shared" si="186"/>
        <v>87.85126685371115</v>
      </c>
      <c r="O177" s="145">
        <f t="shared" si="187"/>
        <v>0</v>
      </c>
      <c r="P177" s="145">
        <f t="shared" si="188"/>
        <v>46.8415950854995</v>
      </c>
      <c r="Q177" s="147">
        <f t="shared" si="189"/>
        <v>156.09286193921065</v>
      </c>
      <c r="R177" s="147"/>
      <c r="S177" s="128">
        <f t="shared" si="190"/>
        <v>0.0517069498866588</v>
      </c>
      <c r="T177" s="128">
        <f t="shared" si="191"/>
        <v>1.9739712234545788</v>
      </c>
      <c r="U177" s="145">
        <f t="shared" si="192"/>
        <v>0</v>
      </c>
      <c r="V177" s="145">
        <f t="shared" si="193"/>
        <v>0</v>
      </c>
      <c r="W177" s="128">
        <f t="shared" si="163"/>
        <v>0</v>
      </c>
      <c r="X177" t="str">
        <f t="shared" si="178"/>
        <v>1012,7</v>
      </c>
      <c r="Y177" s="151">
        <f t="shared" si="179"/>
        <v>0.0517069498866588</v>
      </c>
      <c r="Z177" s="151">
        <f t="shared" si="180"/>
        <v>1.9739712234545788</v>
      </c>
    </row>
    <row r="178" spans="1:26" ht="12.75">
      <c r="A178" s="141">
        <f>+'SMAW-SMAW'!A178</f>
        <v>161</v>
      </c>
      <c r="B178" s="142">
        <v>10</v>
      </c>
      <c r="C178" s="143">
        <v>273</v>
      </c>
      <c r="D178" s="143">
        <v>15.09</v>
      </c>
      <c r="E178" s="144" t="s">
        <v>89</v>
      </c>
      <c r="F178" s="145">
        <f t="shared" si="0"/>
        <v>2</v>
      </c>
      <c r="G178" s="145">
        <f t="shared" si="164"/>
        <v>2</v>
      </c>
      <c r="H178" s="145">
        <f t="shared" si="181"/>
        <v>2</v>
      </c>
      <c r="I178" s="146">
        <f t="shared" si="182"/>
        <v>10.04431027264459</v>
      </c>
      <c r="J178" s="147"/>
      <c r="K178" s="145">
        <f t="shared" si="183"/>
        <v>0</v>
      </c>
      <c r="L178" s="145">
        <f t="shared" si="184"/>
        <v>6</v>
      </c>
      <c r="M178" s="145">
        <f t="shared" si="185"/>
        <v>26.18</v>
      </c>
      <c r="N178" s="145">
        <f t="shared" si="186"/>
        <v>131.4800214689177</v>
      </c>
      <c r="O178" s="145">
        <f t="shared" si="187"/>
        <v>0</v>
      </c>
      <c r="P178" s="145">
        <f t="shared" si="188"/>
        <v>54.17724109057836</v>
      </c>
      <c r="Q178" s="147">
        <f t="shared" si="189"/>
        <v>211.83726255949608</v>
      </c>
      <c r="R178" s="147"/>
      <c r="S178" s="128">
        <f t="shared" si="190"/>
        <v>0.05072460004382005</v>
      </c>
      <c r="T178" s="128">
        <f t="shared" si="191"/>
        <v>2.666916703249375</v>
      </c>
      <c r="U178" s="145">
        <f t="shared" si="192"/>
        <v>0</v>
      </c>
      <c r="V178" s="145">
        <f t="shared" si="193"/>
        <v>0</v>
      </c>
      <c r="W178" s="128">
        <f t="shared" si="163"/>
        <v>0</v>
      </c>
      <c r="X178" t="str">
        <f t="shared" si="178"/>
        <v>1015,09</v>
      </c>
      <c r="Y178" s="151">
        <f t="shared" si="179"/>
        <v>0.05072460004382005</v>
      </c>
      <c r="Z178" s="151">
        <f t="shared" si="180"/>
        <v>2.666916703249375</v>
      </c>
    </row>
    <row r="179" spans="1:26" ht="12.75">
      <c r="A179" s="141">
        <f>+'SMAW-SMAW'!A179</f>
        <v>162</v>
      </c>
      <c r="B179" s="142">
        <v>10</v>
      </c>
      <c r="C179" s="143">
        <v>273</v>
      </c>
      <c r="D179" s="143">
        <v>18.26</v>
      </c>
      <c r="E179" s="144" t="s">
        <v>95</v>
      </c>
      <c r="F179" s="145">
        <f t="shared" si="0"/>
        <v>2</v>
      </c>
      <c r="G179" s="145">
        <f t="shared" si="164"/>
        <v>2</v>
      </c>
      <c r="H179" s="145">
        <f t="shared" si="181"/>
        <v>2</v>
      </c>
      <c r="I179" s="146">
        <f t="shared" si="182"/>
        <v>12.476736824537896</v>
      </c>
      <c r="J179" s="147"/>
      <c r="K179" s="145">
        <f t="shared" si="183"/>
        <v>0</v>
      </c>
      <c r="L179" s="145">
        <f t="shared" si="184"/>
        <v>6</v>
      </c>
      <c r="M179" s="145">
        <f t="shared" si="185"/>
        <v>32.52</v>
      </c>
      <c r="N179" s="145">
        <f t="shared" si="186"/>
        <v>202.87174076698622</v>
      </c>
      <c r="O179" s="145">
        <f t="shared" si="187"/>
        <v>0</v>
      </c>
      <c r="P179" s="145">
        <f t="shared" si="188"/>
        <v>63.906947298151586</v>
      </c>
      <c r="Q179" s="147">
        <f t="shared" si="189"/>
        <v>299.2986880651378</v>
      </c>
      <c r="R179" s="147"/>
      <c r="S179" s="128">
        <f t="shared" si="190"/>
        <v>0.04942165067068247</v>
      </c>
      <c r="T179" s="128">
        <f t="shared" si="191"/>
        <v>3.7455104754612667</v>
      </c>
      <c r="U179" s="145">
        <f t="shared" si="192"/>
        <v>0</v>
      </c>
      <c r="V179" s="145">
        <f t="shared" si="193"/>
        <v>0</v>
      </c>
      <c r="W179" s="128">
        <f t="shared" si="163"/>
        <v>0</v>
      </c>
      <c r="X179" t="str">
        <f t="shared" si="178"/>
        <v>1018,26</v>
      </c>
      <c r="Y179" s="151">
        <f t="shared" si="179"/>
        <v>0.04942165067068247</v>
      </c>
      <c r="Z179" s="151">
        <f t="shared" si="180"/>
        <v>3.7455104754612667</v>
      </c>
    </row>
    <row r="180" spans="1:26" ht="12.75">
      <c r="A180" s="141">
        <f>+'SMAW-SMAW'!A180</f>
        <v>163</v>
      </c>
      <c r="B180" s="142">
        <v>10</v>
      </c>
      <c r="C180" s="143">
        <v>273</v>
      </c>
      <c r="D180" s="143">
        <v>21.44</v>
      </c>
      <c r="E180" s="144" t="s">
        <v>91</v>
      </c>
      <c r="F180" s="145">
        <f t="shared" si="0"/>
        <v>2</v>
      </c>
      <c r="G180" s="145">
        <f t="shared" si="164"/>
        <v>2</v>
      </c>
      <c r="H180" s="145">
        <f t="shared" si="181"/>
        <v>3</v>
      </c>
      <c r="I180" s="146">
        <f t="shared" si="182"/>
        <v>13.044558795642326</v>
      </c>
      <c r="J180" s="147"/>
      <c r="K180" s="145">
        <f t="shared" si="183"/>
        <v>0.43023783292865475</v>
      </c>
      <c r="L180" s="145">
        <f t="shared" si="184"/>
        <v>6</v>
      </c>
      <c r="M180" s="145">
        <f t="shared" si="185"/>
        <v>38.88</v>
      </c>
      <c r="N180" s="145">
        <f t="shared" si="186"/>
        <v>221.75749952591954</v>
      </c>
      <c r="O180" s="145">
        <f t="shared" si="187"/>
        <v>64.70722723508051</v>
      </c>
      <c r="P180" s="145">
        <f t="shared" si="188"/>
        <v>101.84877977142587</v>
      </c>
      <c r="Q180" s="147">
        <f t="shared" si="189"/>
        <v>427.19350653242594</v>
      </c>
      <c r="R180" s="147"/>
      <c r="S180" s="128">
        <f t="shared" si="190"/>
        <v>0.04811459104715642</v>
      </c>
      <c r="T180" s="128">
        <f t="shared" si="191"/>
        <v>5.313809776073368</v>
      </c>
      <c r="U180" s="145">
        <f t="shared" si="192"/>
        <v>0</v>
      </c>
      <c r="V180" s="145">
        <f t="shared" si="193"/>
        <v>0</v>
      </c>
      <c r="W180" s="128">
        <f t="shared" si="163"/>
        <v>0</v>
      </c>
      <c r="X180" t="str">
        <f t="shared" si="178"/>
        <v>1021,44</v>
      </c>
      <c r="Y180" s="151">
        <f t="shared" si="179"/>
        <v>0.04811459104715642</v>
      </c>
      <c r="Z180" s="151">
        <f t="shared" si="180"/>
        <v>5.313809776073368</v>
      </c>
    </row>
    <row r="181" spans="1:26" ht="12.75">
      <c r="A181" s="141">
        <f>+'SMAW-SMAW'!A181</f>
        <v>164</v>
      </c>
      <c r="B181" s="142">
        <v>10</v>
      </c>
      <c r="C181" s="143">
        <v>273</v>
      </c>
      <c r="D181" s="143">
        <v>25.4</v>
      </c>
      <c r="E181" s="144" t="s">
        <v>96</v>
      </c>
      <c r="F181" s="145">
        <f t="shared" si="0"/>
        <v>2</v>
      </c>
      <c r="G181" s="145">
        <f t="shared" si="164"/>
        <v>2</v>
      </c>
      <c r="H181" s="145">
        <f t="shared" si="181"/>
        <v>3</v>
      </c>
      <c r="I181" s="146">
        <f t="shared" si="182"/>
        <v>13.044558795642326</v>
      </c>
      <c r="J181" s="147"/>
      <c r="K181" s="145">
        <f t="shared" si="183"/>
        <v>1.1284926765341756</v>
      </c>
      <c r="L181" s="145">
        <f t="shared" si="184"/>
        <v>6</v>
      </c>
      <c r="M181" s="145">
        <f t="shared" si="185"/>
        <v>46.8</v>
      </c>
      <c r="N181" s="145">
        <f t="shared" si="186"/>
        <v>221.75749952591954</v>
      </c>
      <c r="O181" s="145">
        <f t="shared" si="187"/>
        <v>174.19270571404044</v>
      </c>
      <c r="P181" s="145">
        <f t="shared" si="188"/>
        <v>106.03830883305902</v>
      </c>
      <c r="Q181" s="147">
        <f t="shared" si="189"/>
        <v>548.788514073019</v>
      </c>
      <c r="R181" s="147"/>
      <c r="S181" s="128">
        <f t="shared" si="190"/>
        <v>0.04648693189333156</v>
      </c>
      <c r="T181" s="128">
        <f t="shared" si="191"/>
        <v>6.774782657057319</v>
      </c>
      <c r="U181" s="145">
        <f t="shared" si="192"/>
        <v>0</v>
      </c>
      <c r="V181" s="145">
        <f t="shared" si="193"/>
        <v>0</v>
      </c>
      <c r="W181" s="128">
        <f t="shared" si="163"/>
        <v>0</v>
      </c>
      <c r="X181" t="str">
        <f t="shared" si="178"/>
        <v>1025,4</v>
      </c>
      <c r="Y181" s="151">
        <f t="shared" si="179"/>
        <v>0.04648693189333156</v>
      </c>
      <c r="Z181" s="151">
        <f t="shared" si="180"/>
        <v>6.774782657057319</v>
      </c>
    </row>
    <row r="182" spans="1:26" ht="12.75">
      <c r="A182" s="141">
        <f>+'SMAW-SMAW'!A182</f>
        <v>165</v>
      </c>
      <c r="B182" s="142">
        <v>10</v>
      </c>
      <c r="C182" s="143">
        <v>273</v>
      </c>
      <c r="D182" s="143">
        <v>25.4</v>
      </c>
      <c r="E182" s="144" t="s">
        <v>83</v>
      </c>
      <c r="F182" s="145">
        <f t="shared" si="0"/>
        <v>2</v>
      </c>
      <c r="G182" s="145">
        <f t="shared" si="164"/>
        <v>2</v>
      </c>
      <c r="H182" s="145">
        <f t="shared" si="181"/>
        <v>3</v>
      </c>
      <c r="I182" s="146">
        <f t="shared" si="182"/>
        <v>13.044558795642326</v>
      </c>
      <c r="J182" s="147"/>
      <c r="K182" s="145">
        <f t="shared" si="183"/>
        <v>1.1284926765341756</v>
      </c>
      <c r="L182" s="145">
        <f t="shared" si="184"/>
        <v>6</v>
      </c>
      <c r="M182" s="145">
        <f t="shared" si="185"/>
        <v>46.8</v>
      </c>
      <c r="N182" s="145">
        <f t="shared" si="186"/>
        <v>221.75749952591954</v>
      </c>
      <c r="O182" s="145">
        <f t="shared" si="187"/>
        <v>174.19270571404044</v>
      </c>
      <c r="P182" s="145">
        <f t="shared" si="188"/>
        <v>106.03830883305902</v>
      </c>
      <c r="Q182" s="147">
        <f t="shared" si="189"/>
        <v>548.788514073019</v>
      </c>
      <c r="R182" s="147"/>
      <c r="S182" s="128">
        <f t="shared" si="190"/>
        <v>0.04648693189333156</v>
      </c>
      <c r="T182" s="128">
        <f t="shared" si="191"/>
        <v>6.774782657057319</v>
      </c>
      <c r="U182" s="145">
        <f t="shared" si="192"/>
        <v>0</v>
      </c>
      <c r="V182" s="145">
        <f t="shared" si="193"/>
        <v>0</v>
      </c>
      <c r="W182" s="128">
        <f t="shared" si="163"/>
        <v>0</v>
      </c>
      <c r="X182" t="str">
        <f t="shared" si="178"/>
        <v>1025,4</v>
      </c>
      <c r="Y182" s="151">
        <f t="shared" si="179"/>
        <v>0.04648693189333156</v>
      </c>
      <c r="Z182" s="151">
        <f t="shared" si="180"/>
        <v>6.774782657057319</v>
      </c>
    </row>
    <row r="183" spans="1:26" ht="12.75">
      <c r="A183" s="141">
        <f>+'SMAW-SMAW'!A183</f>
        <v>166</v>
      </c>
      <c r="B183" s="142">
        <v>10</v>
      </c>
      <c r="C183" s="143">
        <v>273</v>
      </c>
      <c r="D183" s="143">
        <v>28.58</v>
      </c>
      <c r="E183" s="144" t="s">
        <v>90</v>
      </c>
      <c r="F183" s="145">
        <f t="shared" si="0"/>
        <v>2</v>
      </c>
      <c r="G183" s="145">
        <f t="shared" si="164"/>
        <v>2</v>
      </c>
      <c r="H183" s="145">
        <f t="shared" si="181"/>
        <v>3</v>
      </c>
      <c r="I183" s="146">
        <f t="shared" si="182"/>
        <v>13.044558795642326</v>
      </c>
      <c r="J183" s="147"/>
      <c r="K183" s="145">
        <f t="shared" si="183"/>
        <v>1.689212475187094</v>
      </c>
      <c r="L183" s="145">
        <f t="shared" si="184"/>
        <v>6</v>
      </c>
      <c r="M183" s="145">
        <f t="shared" si="185"/>
        <v>53.16</v>
      </c>
      <c r="N183" s="145">
        <f t="shared" si="186"/>
        <v>221.75749952591954</v>
      </c>
      <c r="O183" s="145">
        <f t="shared" si="187"/>
        <v>266.1164020367993</v>
      </c>
      <c r="P183" s="145">
        <f t="shared" si="188"/>
        <v>109.40262762497653</v>
      </c>
      <c r="Q183" s="147">
        <f t="shared" si="189"/>
        <v>650.4365291876953</v>
      </c>
      <c r="R183" s="147"/>
      <c r="S183" s="128">
        <f t="shared" si="190"/>
        <v>0.04517987226980553</v>
      </c>
      <c r="T183" s="128">
        <f t="shared" si="191"/>
        <v>7.980577611116852</v>
      </c>
      <c r="U183" s="145">
        <f t="shared" si="192"/>
        <v>0</v>
      </c>
      <c r="V183" s="145">
        <f t="shared" si="193"/>
        <v>0</v>
      </c>
      <c r="W183" s="128">
        <f t="shared" si="163"/>
        <v>0</v>
      </c>
      <c r="X183" t="str">
        <f t="shared" si="178"/>
        <v>1028,58</v>
      </c>
      <c r="Y183" s="151">
        <f t="shared" si="179"/>
        <v>0.04517987226980553</v>
      </c>
      <c r="Z183" s="151">
        <f t="shared" si="180"/>
        <v>7.980577611116852</v>
      </c>
    </row>
    <row r="184" spans="1:26" ht="12.75">
      <c r="A184" s="141">
        <f>+'SMAW-SMAW'!A184</f>
        <v>167</v>
      </c>
      <c r="B184" s="142"/>
      <c r="C184" s="143"/>
      <c r="D184" s="143"/>
      <c r="E184" s="144"/>
      <c r="F184" s="145"/>
      <c r="G184" s="145">
        <f t="shared" si="164"/>
        <v>0</v>
      </c>
      <c r="H184" s="145"/>
      <c r="I184" s="146"/>
      <c r="J184" s="147"/>
      <c r="K184" s="145"/>
      <c r="L184" s="145"/>
      <c r="M184" s="145"/>
      <c r="N184" s="145"/>
      <c r="O184" s="145"/>
      <c r="P184" s="145"/>
      <c r="Q184" s="147"/>
      <c r="R184" s="147"/>
      <c r="S184" s="128"/>
      <c r="T184" s="128"/>
      <c r="U184" s="145"/>
      <c r="V184" s="145"/>
      <c r="W184" s="128">
        <f t="shared" si="163"/>
        <v>0</v>
      </c>
      <c r="X184">
        <f t="shared" si="178"/>
      </c>
      <c r="Y184" s="151">
        <f t="shared" si="179"/>
        <v>0</v>
      </c>
      <c r="Z184" s="151">
        <f t="shared" si="180"/>
        <v>0</v>
      </c>
    </row>
    <row r="185" spans="1:26" ht="12.75">
      <c r="A185" s="141">
        <f>+'SMAW-SMAW'!A185</f>
        <v>168</v>
      </c>
      <c r="B185" s="142">
        <v>12</v>
      </c>
      <c r="C185" s="143">
        <v>323.4</v>
      </c>
      <c r="D185" s="143">
        <v>3.96</v>
      </c>
      <c r="E185" s="144" t="s">
        <v>81</v>
      </c>
      <c r="F185" s="145">
        <f t="shared" si="0"/>
        <v>2</v>
      </c>
      <c r="G185" s="145">
        <f t="shared" si="164"/>
        <v>2</v>
      </c>
      <c r="H185" s="145">
        <f>IF(D185&lt;=19,2,3)</f>
        <v>2</v>
      </c>
      <c r="I185" s="146">
        <f>IF(D185&lt;=19,(D185-G185)*TAN($C$8*PI()/180),(19-G185)*TAN($C$8*PI()/180))</f>
        <v>1.5039608964387623</v>
      </c>
      <c r="J185" s="147"/>
      <c r="K185" s="145">
        <f>IF(D185&lt;=19,0,(D185-19)*TAN($C$10*PI()/180))</f>
        <v>0</v>
      </c>
      <c r="L185" s="145">
        <f>+F185*(G185*1.5)</f>
        <v>6</v>
      </c>
      <c r="M185" s="145">
        <f>+F185*(D185-G185)</f>
        <v>3.92</v>
      </c>
      <c r="N185" s="145">
        <f>IF(D185&lt;=19,(D185-G185)*I185,(19-G185)*I185)</f>
        <v>2.947763357019974</v>
      </c>
      <c r="O185" s="145">
        <f>IF(D185&lt;=19,0,(I185*(D185-19)*2)+((K185)*(D185-19)))</f>
        <v>0</v>
      </c>
      <c r="P185" s="145">
        <f>+(5+F185+(2*(I185+K185)))*H185</f>
        <v>20.01584358575505</v>
      </c>
      <c r="Q185" s="147">
        <f>SUM(M185:P185)</f>
        <v>26.883606942775025</v>
      </c>
      <c r="R185" s="147"/>
      <c r="S185" s="128">
        <f>IF(D$6=1,(PI()*(C185-(2*D185)+(2*G185))*L185*0.1*0.01*7.85*0.001/(S$16*S$17)),0)</f>
        <v>0.06565713970504672</v>
      </c>
      <c r="T185" s="128">
        <f>IF(D$6=1,(PI()*(C185-(0.5*D185))*(Q185)*0.1*0.01*7.85*0.001/(T$16*T$17)),0)</f>
        <v>0.40980440246253325</v>
      </c>
      <c r="U185" s="145">
        <f>IF(D$6=1,0,(PI()*(C185-(2*D185)+(2*G185))*L185*0.1*0.01*7.85*0.001/(U$16*U$17)))</f>
        <v>0</v>
      </c>
      <c r="V185" s="145">
        <f>IF(D$6=1,0,(PI()*(C185-(0.5*D185))*(Q185)*0.1*0.01*7.85*0.001/(V$16*V$17)))</f>
        <v>0</v>
      </c>
      <c r="W185" s="128">
        <f t="shared" si="163"/>
        <v>0</v>
      </c>
      <c r="X185" t="str">
        <f t="shared" si="178"/>
        <v>123,96</v>
      </c>
      <c r="Y185" s="151">
        <f t="shared" si="179"/>
        <v>0.06565713970504672</v>
      </c>
      <c r="Z185" s="151">
        <f t="shared" si="180"/>
        <v>0.40980440246253325</v>
      </c>
    </row>
    <row r="186" spans="1:26" ht="12.75">
      <c r="A186" s="141">
        <f>+'SMAW-SMAW'!A186</f>
        <v>169</v>
      </c>
      <c r="B186" s="142">
        <v>12</v>
      </c>
      <c r="C186" s="143">
        <v>323.4</v>
      </c>
      <c r="D186" s="143">
        <v>4.57</v>
      </c>
      <c r="E186" s="144" t="s">
        <v>84</v>
      </c>
      <c r="F186" s="145">
        <f t="shared" si="0"/>
        <v>2</v>
      </c>
      <c r="G186" s="145">
        <f t="shared" si="164"/>
        <v>2</v>
      </c>
      <c r="H186" s="145">
        <f aca="true" t="shared" si="194" ref="H186:H200">IF(D186&lt;=19,2,3)</f>
        <v>2</v>
      </c>
      <c r="I186" s="146">
        <f aca="true" t="shared" si="195" ref="I186:I200">IF(D186&lt;=19,(D186-G186)*TAN($C$8*PI()/180),(19-G186)*TAN($C$8*PI()/180))</f>
        <v>1.9720303591059283</v>
      </c>
      <c r="J186" s="147"/>
      <c r="K186" s="145">
        <f aca="true" t="shared" si="196" ref="K186:K200">IF(D186&lt;=19,0,(D186-19)*TAN($C$10*PI()/180))</f>
        <v>0</v>
      </c>
      <c r="L186" s="145">
        <f aca="true" t="shared" si="197" ref="L186:L200">+F186*(G186*1.5)</f>
        <v>6</v>
      </c>
      <c r="M186" s="145">
        <f aca="true" t="shared" si="198" ref="M186:M200">+F186*(D186-G186)</f>
        <v>5.140000000000001</v>
      </c>
      <c r="N186" s="145">
        <f aca="true" t="shared" si="199" ref="N186:N200">IF(D186&lt;=19,(D186-G186)*I186,(19-G186)*I186)</f>
        <v>5.068118022902237</v>
      </c>
      <c r="O186" s="145">
        <f aca="true" t="shared" si="200" ref="O186:O200">IF(D186&lt;=19,0,(I186*(D186-19)*2)+((K186)*(D186-19)))</f>
        <v>0</v>
      </c>
      <c r="P186" s="145">
        <f aca="true" t="shared" si="201" ref="P186:P200">+(5+F186+(2*(I186+K186)))*H186</f>
        <v>21.888121436423713</v>
      </c>
      <c r="Q186" s="147">
        <f aca="true" t="shared" si="202" ref="Q186:Q200">SUM(M186:P186)</f>
        <v>32.09623945932595</v>
      </c>
      <c r="R186" s="147"/>
      <c r="S186" s="128">
        <f aca="true" t="shared" si="203" ref="S186:S200">IF(D$6=1,(PI()*(C186-(2*D186)+(2*G186))*L186*0.1*0.01*7.85*0.001/(S$16*S$17)),0)</f>
        <v>0.06540641443135148</v>
      </c>
      <c r="T186" s="128">
        <f aca="true" t="shared" si="204" ref="T186:T200">IF(D$6=1,(PI()*(C186-(0.5*D186))*(Q186)*0.1*0.01*7.85*0.001/(T$16*T$17)),0)</f>
        <v>0.4887996994408294</v>
      </c>
      <c r="U186" s="145">
        <f aca="true" t="shared" si="205" ref="U186:U200">IF(D$6=1,0,(PI()*(C186-(2*D186)+(2*G186))*L186*0.1*0.01*7.85*0.001/(U$16*U$17)))</f>
        <v>0</v>
      </c>
      <c r="V186" s="145">
        <f aca="true" t="shared" si="206" ref="V186:V200">IF(D$6=1,0,(PI()*(C186-(0.5*D186))*(Q186)*0.1*0.01*7.85*0.001/(V$16*V$17)))</f>
        <v>0</v>
      </c>
      <c r="W186" s="128">
        <f t="shared" si="163"/>
        <v>0</v>
      </c>
      <c r="X186" t="str">
        <f t="shared" si="178"/>
        <v>124,57</v>
      </c>
      <c r="Y186" s="151">
        <f t="shared" si="179"/>
        <v>0.06540641443135148</v>
      </c>
      <c r="Z186" s="151">
        <f t="shared" si="180"/>
        <v>0.4887996994408294</v>
      </c>
    </row>
    <row r="187" spans="1:26" ht="12.75">
      <c r="A187" s="141">
        <f>+'SMAW-SMAW'!A187</f>
        <v>170</v>
      </c>
      <c r="B187" s="142">
        <v>12</v>
      </c>
      <c r="C187" s="143">
        <v>323.4</v>
      </c>
      <c r="D187" s="143">
        <v>6.35</v>
      </c>
      <c r="E187" s="144" t="s">
        <v>92</v>
      </c>
      <c r="F187" s="145">
        <f t="shared" si="0"/>
        <v>2</v>
      </c>
      <c r="G187" s="145">
        <f t="shared" si="164"/>
        <v>2</v>
      </c>
      <c r="H187" s="145">
        <f t="shared" si="194"/>
        <v>2</v>
      </c>
      <c r="I187" s="146">
        <f t="shared" si="195"/>
        <v>3.337872397708477</v>
      </c>
      <c r="J187" s="147"/>
      <c r="K187" s="145">
        <f t="shared" si="196"/>
        <v>0</v>
      </c>
      <c r="L187" s="145">
        <f t="shared" si="197"/>
        <v>6</v>
      </c>
      <c r="M187" s="145">
        <f t="shared" si="198"/>
        <v>8.7</v>
      </c>
      <c r="N187" s="145">
        <f t="shared" si="199"/>
        <v>14.519744930031875</v>
      </c>
      <c r="O187" s="145">
        <f t="shared" si="200"/>
        <v>0</v>
      </c>
      <c r="P187" s="145">
        <f t="shared" si="201"/>
        <v>27.351489590833907</v>
      </c>
      <c r="Q187" s="147">
        <f t="shared" si="202"/>
        <v>50.57123452086578</v>
      </c>
      <c r="R187" s="147"/>
      <c r="S187" s="128">
        <f t="shared" si="203"/>
        <v>0.06467478986220797</v>
      </c>
      <c r="T187" s="128">
        <f t="shared" si="204"/>
        <v>0.7680243256722907</v>
      </c>
      <c r="U187" s="145">
        <f t="shared" si="205"/>
        <v>0</v>
      </c>
      <c r="V187" s="145">
        <f t="shared" si="206"/>
        <v>0</v>
      </c>
      <c r="W187" s="128">
        <f t="shared" si="163"/>
        <v>0</v>
      </c>
      <c r="X187" t="str">
        <f t="shared" si="178"/>
        <v>126,35</v>
      </c>
      <c r="Y187" s="151">
        <f t="shared" si="179"/>
        <v>0.06467478986220797</v>
      </c>
      <c r="Z187" s="151">
        <f t="shared" si="180"/>
        <v>0.7680243256722907</v>
      </c>
    </row>
    <row r="188" spans="1:26" ht="12.75">
      <c r="A188" s="141">
        <f>+'SMAW-SMAW'!A188</f>
        <v>171</v>
      </c>
      <c r="B188" s="142">
        <v>12</v>
      </c>
      <c r="C188" s="143">
        <v>323.4</v>
      </c>
      <c r="D188" s="143">
        <v>8.38</v>
      </c>
      <c r="E188" s="144" t="s">
        <v>93</v>
      </c>
      <c r="F188" s="145">
        <f t="shared" si="0"/>
        <v>2</v>
      </c>
      <c r="G188" s="145">
        <f t="shared" si="164"/>
        <v>2</v>
      </c>
      <c r="H188" s="145">
        <f t="shared" si="194"/>
        <v>2</v>
      </c>
      <c r="I188" s="146">
        <f t="shared" si="195"/>
        <v>4.895546183305767</v>
      </c>
      <c r="J188" s="147"/>
      <c r="K188" s="145">
        <f t="shared" si="196"/>
        <v>0</v>
      </c>
      <c r="L188" s="145">
        <f t="shared" si="197"/>
        <v>6</v>
      </c>
      <c r="M188" s="145">
        <f t="shared" si="198"/>
        <v>12.760000000000002</v>
      </c>
      <c r="N188" s="145">
        <f t="shared" si="199"/>
        <v>31.2335846494908</v>
      </c>
      <c r="O188" s="145">
        <f t="shared" si="200"/>
        <v>0</v>
      </c>
      <c r="P188" s="145">
        <f t="shared" si="201"/>
        <v>33.58218473322307</v>
      </c>
      <c r="Q188" s="147">
        <f t="shared" si="202"/>
        <v>77.57576938271387</v>
      </c>
      <c r="R188" s="147"/>
      <c r="S188" s="128">
        <f t="shared" si="203"/>
        <v>0.06384040903335331</v>
      </c>
      <c r="T188" s="128">
        <f t="shared" si="204"/>
        <v>1.1744073632995613</v>
      </c>
      <c r="U188" s="145">
        <f t="shared" si="205"/>
        <v>0</v>
      </c>
      <c r="V188" s="145">
        <f t="shared" si="206"/>
        <v>0</v>
      </c>
      <c r="W188" s="128">
        <f t="shared" si="163"/>
        <v>0</v>
      </c>
      <c r="X188" t="str">
        <f t="shared" si="178"/>
        <v>128,38</v>
      </c>
      <c r="Y188" s="151">
        <f t="shared" si="179"/>
        <v>0.06384040903335331</v>
      </c>
      <c r="Z188" s="151">
        <f t="shared" si="180"/>
        <v>1.1744073632995613</v>
      </c>
    </row>
    <row r="189" spans="1:26" ht="12.75">
      <c r="A189" s="141">
        <f>+'SMAW-SMAW'!A189</f>
        <v>172</v>
      </c>
      <c r="B189" s="142">
        <v>12</v>
      </c>
      <c r="C189" s="143">
        <v>323.4</v>
      </c>
      <c r="D189" s="143">
        <v>9.52</v>
      </c>
      <c r="E189" s="144" t="s">
        <v>85</v>
      </c>
      <c r="F189" s="145">
        <f t="shared" si="0"/>
        <v>2</v>
      </c>
      <c r="G189" s="145">
        <f t="shared" si="164"/>
        <v>2</v>
      </c>
      <c r="H189" s="145">
        <f t="shared" si="194"/>
        <v>2</v>
      </c>
      <c r="I189" s="146">
        <f t="shared" si="195"/>
        <v>5.770298949601782</v>
      </c>
      <c r="J189" s="147"/>
      <c r="K189" s="145">
        <f t="shared" si="196"/>
        <v>0</v>
      </c>
      <c r="L189" s="145">
        <f t="shared" si="197"/>
        <v>6</v>
      </c>
      <c r="M189" s="145">
        <f t="shared" si="198"/>
        <v>15.04</v>
      </c>
      <c r="N189" s="145">
        <f t="shared" si="199"/>
        <v>43.39264810100539</v>
      </c>
      <c r="O189" s="145">
        <f t="shared" si="200"/>
        <v>0</v>
      </c>
      <c r="P189" s="145">
        <f t="shared" si="201"/>
        <v>37.08119579840712</v>
      </c>
      <c r="Q189" s="147">
        <f t="shared" si="202"/>
        <v>95.5138438994125</v>
      </c>
      <c r="R189" s="147"/>
      <c r="S189" s="128">
        <f t="shared" si="203"/>
        <v>0.06337184048907035</v>
      </c>
      <c r="T189" s="128">
        <f t="shared" si="204"/>
        <v>1.4433870434958895</v>
      </c>
      <c r="U189" s="145">
        <f t="shared" si="205"/>
        <v>0</v>
      </c>
      <c r="V189" s="145">
        <f t="shared" si="206"/>
        <v>0</v>
      </c>
      <c r="W189" s="128">
        <f t="shared" si="163"/>
        <v>0</v>
      </c>
      <c r="X189" t="str">
        <f t="shared" si="178"/>
        <v>129,52</v>
      </c>
      <c r="Y189" s="151">
        <f t="shared" si="179"/>
        <v>0.06337184048907035</v>
      </c>
      <c r="Z189" s="151">
        <f t="shared" si="180"/>
        <v>1.4433870434958895</v>
      </c>
    </row>
    <row r="190" spans="1:26" ht="12.75">
      <c r="A190" s="141">
        <f>+'SMAW-SMAW'!A190</f>
        <v>173</v>
      </c>
      <c r="B190" s="142">
        <v>12</v>
      </c>
      <c r="C190" s="143">
        <v>323.4</v>
      </c>
      <c r="D190" s="143">
        <v>9.52</v>
      </c>
      <c r="E190" s="144" t="s">
        <v>86</v>
      </c>
      <c r="F190" s="145">
        <f t="shared" si="0"/>
        <v>2</v>
      </c>
      <c r="G190" s="145">
        <f t="shared" si="164"/>
        <v>2</v>
      </c>
      <c r="H190" s="145">
        <f t="shared" si="194"/>
        <v>2</v>
      </c>
      <c r="I190" s="146">
        <f t="shared" si="195"/>
        <v>5.770298949601782</v>
      </c>
      <c r="J190" s="147"/>
      <c r="K190" s="145">
        <f t="shared" si="196"/>
        <v>0</v>
      </c>
      <c r="L190" s="145">
        <f t="shared" si="197"/>
        <v>6</v>
      </c>
      <c r="M190" s="145">
        <f t="shared" si="198"/>
        <v>15.04</v>
      </c>
      <c r="N190" s="145">
        <f t="shared" si="199"/>
        <v>43.39264810100539</v>
      </c>
      <c r="O190" s="145">
        <f t="shared" si="200"/>
        <v>0</v>
      </c>
      <c r="P190" s="145">
        <f t="shared" si="201"/>
        <v>37.08119579840712</v>
      </c>
      <c r="Q190" s="147">
        <f t="shared" si="202"/>
        <v>95.5138438994125</v>
      </c>
      <c r="R190" s="147"/>
      <c r="S190" s="128">
        <f t="shared" si="203"/>
        <v>0.06337184048907035</v>
      </c>
      <c r="T190" s="128">
        <f t="shared" si="204"/>
        <v>1.4433870434958895</v>
      </c>
      <c r="U190" s="145">
        <f t="shared" si="205"/>
        <v>0</v>
      </c>
      <c r="V190" s="145">
        <f t="shared" si="206"/>
        <v>0</v>
      </c>
      <c r="W190" s="128">
        <f t="shared" si="163"/>
        <v>0</v>
      </c>
      <c r="X190" t="str">
        <f t="shared" si="178"/>
        <v>129,52</v>
      </c>
      <c r="Y190" s="151">
        <f t="shared" si="179"/>
        <v>0.06337184048907035</v>
      </c>
      <c r="Z190" s="151">
        <f t="shared" si="180"/>
        <v>1.4433870434958895</v>
      </c>
    </row>
    <row r="191" spans="1:26" ht="12.75">
      <c r="A191" s="141">
        <f>+'SMAW-SMAW'!A191</f>
        <v>174</v>
      </c>
      <c r="B191" s="142">
        <v>12</v>
      </c>
      <c r="C191" s="143">
        <v>323.4</v>
      </c>
      <c r="D191" s="143">
        <v>10.31</v>
      </c>
      <c r="E191" s="144" t="s">
        <v>87</v>
      </c>
      <c r="F191" s="145">
        <f t="shared" si="0"/>
        <v>2</v>
      </c>
      <c r="G191" s="145">
        <f t="shared" si="164"/>
        <v>2</v>
      </c>
      <c r="H191" s="145">
        <f t="shared" si="194"/>
        <v>2</v>
      </c>
      <c r="I191" s="146">
        <f t="shared" si="195"/>
        <v>6.376487270105161</v>
      </c>
      <c r="J191" s="147"/>
      <c r="K191" s="145">
        <f t="shared" si="196"/>
        <v>0</v>
      </c>
      <c r="L191" s="145">
        <f t="shared" si="197"/>
        <v>6</v>
      </c>
      <c r="M191" s="145">
        <f t="shared" si="198"/>
        <v>16.62</v>
      </c>
      <c r="N191" s="145">
        <f t="shared" si="199"/>
        <v>52.98860921457389</v>
      </c>
      <c r="O191" s="145">
        <f t="shared" si="200"/>
        <v>0</v>
      </c>
      <c r="P191" s="145">
        <f t="shared" si="201"/>
        <v>39.50594908042065</v>
      </c>
      <c r="Q191" s="147">
        <f t="shared" si="202"/>
        <v>109.11455829499454</v>
      </c>
      <c r="R191" s="147"/>
      <c r="S191" s="128">
        <f t="shared" si="203"/>
        <v>0.0630471307083831</v>
      </c>
      <c r="T191" s="128">
        <f t="shared" si="204"/>
        <v>1.6468743817429754</v>
      </c>
      <c r="U191" s="145">
        <f t="shared" si="205"/>
        <v>0</v>
      </c>
      <c r="V191" s="145">
        <f t="shared" si="206"/>
        <v>0</v>
      </c>
      <c r="W191" s="128">
        <f t="shared" si="163"/>
        <v>0</v>
      </c>
      <c r="X191" t="str">
        <f t="shared" si="178"/>
        <v>1210,31</v>
      </c>
      <c r="Y191" s="151">
        <f t="shared" si="179"/>
        <v>0.0630471307083831</v>
      </c>
      <c r="Z191" s="151">
        <f t="shared" si="180"/>
        <v>1.6468743817429754</v>
      </c>
    </row>
    <row r="192" spans="1:26" ht="12.75">
      <c r="A192" s="141">
        <f>+'SMAW-SMAW'!A192</f>
        <v>175</v>
      </c>
      <c r="B192" s="142">
        <v>12</v>
      </c>
      <c r="C192" s="143">
        <v>323.4</v>
      </c>
      <c r="D192" s="143">
        <v>12.7</v>
      </c>
      <c r="E192" s="144" t="s">
        <v>88</v>
      </c>
      <c r="F192" s="145">
        <f t="shared" si="0"/>
        <v>2</v>
      </c>
      <c r="G192" s="145">
        <f t="shared" si="164"/>
        <v>2</v>
      </c>
      <c r="H192" s="145">
        <f t="shared" si="194"/>
        <v>2</v>
      </c>
      <c r="I192" s="146">
        <f t="shared" si="195"/>
        <v>8.210398771374875</v>
      </c>
      <c r="J192" s="147"/>
      <c r="K192" s="145">
        <f t="shared" si="196"/>
        <v>0</v>
      </c>
      <c r="L192" s="145">
        <f t="shared" si="197"/>
        <v>6</v>
      </c>
      <c r="M192" s="145">
        <f t="shared" si="198"/>
        <v>21.4</v>
      </c>
      <c r="N192" s="145">
        <f t="shared" si="199"/>
        <v>87.85126685371115</v>
      </c>
      <c r="O192" s="145">
        <f t="shared" si="200"/>
        <v>0</v>
      </c>
      <c r="P192" s="145">
        <f t="shared" si="201"/>
        <v>46.8415950854995</v>
      </c>
      <c r="Q192" s="147">
        <f t="shared" si="202"/>
        <v>156.09286193921065</v>
      </c>
      <c r="R192" s="147"/>
      <c r="S192" s="128">
        <f t="shared" si="203"/>
        <v>0.062064780865544365</v>
      </c>
      <c r="T192" s="128">
        <f t="shared" si="204"/>
        <v>2.347075103680008</v>
      </c>
      <c r="U192" s="145">
        <f t="shared" si="205"/>
        <v>0</v>
      </c>
      <c r="V192" s="145">
        <f t="shared" si="206"/>
        <v>0</v>
      </c>
      <c r="W192" s="128">
        <f t="shared" si="163"/>
        <v>0</v>
      </c>
      <c r="X192" t="str">
        <f t="shared" si="178"/>
        <v>1212,7</v>
      </c>
      <c r="Y192" s="151">
        <f t="shared" si="179"/>
        <v>0.062064780865544365</v>
      </c>
      <c r="Z192" s="151">
        <f t="shared" si="180"/>
        <v>2.347075103680008</v>
      </c>
    </row>
    <row r="193" spans="1:26" ht="12.75">
      <c r="A193" s="141">
        <f>+'SMAW-SMAW'!A193</f>
        <v>176</v>
      </c>
      <c r="B193" s="142">
        <v>12</v>
      </c>
      <c r="C193" s="143">
        <v>323.4</v>
      </c>
      <c r="D193" s="143">
        <v>12.701</v>
      </c>
      <c r="E193" s="144" t="s">
        <v>82</v>
      </c>
      <c r="F193" s="145">
        <f t="shared" si="0"/>
        <v>2</v>
      </c>
      <c r="G193" s="145">
        <f t="shared" si="164"/>
        <v>2</v>
      </c>
      <c r="H193" s="145">
        <f t="shared" si="194"/>
        <v>2</v>
      </c>
      <c r="I193" s="146">
        <f t="shared" si="195"/>
        <v>8.211166098362856</v>
      </c>
      <c r="J193" s="147"/>
      <c r="K193" s="145">
        <f t="shared" si="196"/>
        <v>0</v>
      </c>
      <c r="L193" s="145">
        <f t="shared" si="197"/>
        <v>6</v>
      </c>
      <c r="M193" s="145">
        <f t="shared" si="198"/>
        <v>21.402</v>
      </c>
      <c r="N193" s="145">
        <f t="shared" si="199"/>
        <v>87.86768841858093</v>
      </c>
      <c r="O193" s="145">
        <f t="shared" si="200"/>
        <v>0</v>
      </c>
      <c r="P193" s="145">
        <f t="shared" si="201"/>
        <v>46.844664393451424</v>
      </c>
      <c r="Q193" s="147">
        <f t="shared" si="202"/>
        <v>156.11435281203234</v>
      </c>
      <c r="R193" s="147"/>
      <c r="S193" s="128">
        <f t="shared" si="203"/>
        <v>0.0620643698405055</v>
      </c>
      <c r="T193" s="128">
        <f t="shared" si="204"/>
        <v>2.347394547157412</v>
      </c>
      <c r="U193" s="145">
        <f t="shared" si="205"/>
        <v>0</v>
      </c>
      <c r="V193" s="145">
        <f t="shared" si="206"/>
        <v>0</v>
      </c>
      <c r="W193" s="128">
        <f t="shared" si="163"/>
        <v>0</v>
      </c>
      <c r="X193" t="str">
        <f t="shared" si="178"/>
        <v>1212,701</v>
      </c>
      <c r="Y193" s="151">
        <f t="shared" si="179"/>
        <v>0.0620643698405055</v>
      </c>
      <c r="Z193" s="151">
        <f t="shared" si="180"/>
        <v>2.347394547157412</v>
      </c>
    </row>
    <row r="194" spans="1:26" ht="12.75">
      <c r="A194" s="141">
        <f>+'SMAW-SMAW'!A194</f>
        <v>177</v>
      </c>
      <c r="B194" s="142">
        <v>12</v>
      </c>
      <c r="C194" s="143">
        <v>323.4</v>
      </c>
      <c r="D194" s="143">
        <v>14.27</v>
      </c>
      <c r="E194" s="144" t="s">
        <v>94</v>
      </c>
      <c r="F194" s="145">
        <f t="shared" si="0"/>
        <v>2</v>
      </c>
      <c r="G194" s="145">
        <f t="shared" si="164"/>
        <v>2</v>
      </c>
      <c r="H194" s="145">
        <f t="shared" si="194"/>
        <v>2</v>
      </c>
      <c r="I194" s="146">
        <f t="shared" si="195"/>
        <v>9.415102142501844</v>
      </c>
      <c r="J194" s="147"/>
      <c r="K194" s="145">
        <f t="shared" si="196"/>
        <v>0</v>
      </c>
      <c r="L194" s="145">
        <f t="shared" si="197"/>
        <v>6</v>
      </c>
      <c r="M194" s="145">
        <f t="shared" si="198"/>
        <v>24.54</v>
      </c>
      <c r="N194" s="145">
        <f t="shared" si="199"/>
        <v>115.52330328849763</v>
      </c>
      <c r="O194" s="145">
        <f t="shared" si="200"/>
        <v>0</v>
      </c>
      <c r="P194" s="145">
        <f t="shared" si="201"/>
        <v>51.66040857000738</v>
      </c>
      <c r="Q194" s="147">
        <f t="shared" si="202"/>
        <v>191.723711858505</v>
      </c>
      <c r="R194" s="147"/>
      <c r="S194" s="128">
        <f t="shared" si="203"/>
        <v>0.06141947155455822</v>
      </c>
      <c r="T194" s="128">
        <f t="shared" si="204"/>
        <v>2.8756971498774444</v>
      </c>
      <c r="U194" s="145">
        <f t="shared" si="205"/>
        <v>0</v>
      </c>
      <c r="V194" s="145">
        <f t="shared" si="206"/>
        <v>0</v>
      </c>
      <c r="W194" s="128">
        <f t="shared" si="163"/>
        <v>0</v>
      </c>
      <c r="X194" t="str">
        <f t="shared" si="178"/>
        <v>1214,27</v>
      </c>
      <c r="Y194" s="151">
        <f t="shared" si="179"/>
        <v>0.06141947155455822</v>
      </c>
      <c r="Z194" s="151">
        <f t="shared" si="180"/>
        <v>2.8756971498774444</v>
      </c>
    </row>
    <row r="195" spans="1:26" ht="12.75">
      <c r="A195" s="141">
        <f>+'SMAW-SMAW'!A195</f>
        <v>178</v>
      </c>
      <c r="B195" s="142">
        <v>12</v>
      </c>
      <c r="C195" s="143">
        <v>323.4</v>
      </c>
      <c r="D195" s="143">
        <v>17.47</v>
      </c>
      <c r="E195" s="144" t="s">
        <v>89</v>
      </c>
      <c r="F195" s="145">
        <f t="shared" si="0"/>
        <v>2</v>
      </c>
      <c r="G195" s="145">
        <f t="shared" si="164"/>
        <v>2</v>
      </c>
      <c r="H195" s="145">
        <f t="shared" si="194"/>
        <v>2</v>
      </c>
      <c r="I195" s="146">
        <f t="shared" si="195"/>
        <v>11.870548504034517</v>
      </c>
      <c r="J195" s="147"/>
      <c r="K195" s="145">
        <f t="shared" si="196"/>
        <v>0</v>
      </c>
      <c r="L195" s="145">
        <f t="shared" si="197"/>
        <v>6</v>
      </c>
      <c r="M195" s="145">
        <f t="shared" si="198"/>
        <v>30.939999999999998</v>
      </c>
      <c r="N195" s="145">
        <f t="shared" si="199"/>
        <v>183.63738535741396</v>
      </c>
      <c r="O195" s="145">
        <f t="shared" si="200"/>
        <v>0</v>
      </c>
      <c r="P195" s="145">
        <f t="shared" si="201"/>
        <v>61.48219401613807</v>
      </c>
      <c r="Q195" s="147">
        <f t="shared" si="202"/>
        <v>276.059579373552</v>
      </c>
      <c r="R195" s="147"/>
      <c r="S195" s="128">
        <f t="shared" si="203"/>
        <v>0.06010419143025529</v>
      </c>
      <c r="T195" s="128">
        <f t="shared" si="204"/>
        <v>4.119717601372069</v>
      </c>
      <c r="U195" s="145">
        <f t="shared" si="205"/>
        <v>0</v>
      </c>
      <c r="V195" s="145">
        <f t="shared" si="206"/>
        <v>0</v>
      </c>
      <c r="W195" s="128">
        <f t="shared" si="163"/>
        <v>0</v>
      </c>
      <c r="X195" t="str">
        <f t="shared" si="178"/>
        <v>1217,47</v>
      </c>
      <c r="Y195" s="151">
        <f t="shared" si="179"/>
        <v>0.06010419143025529</v>
      </c>
      <c r="Z195" s="151">
        <f t="shared" si="180"/>
        <v>4.119717601372069</v>
      </c>
    </row>
    <row r="196" spans="1:26" ht="12.75">
      <c r="A196" s="141">
        <f>+'SMAW-SMAW'!A196</f>
        <v>179</v>
      </c>
      <c r="B196" s="142">
        <v>12</v>
      </c>
      <c r="C196" s="143">
        <v>323.4</v>
      </c>
      <c r="D196" s="143">
        <v>21.44</v>
      </c>
      <c r="E196" s="144" t="s">
        <v>95</v>
      </c>
      <c r="F196" s="145">
        <f t="shared" si="0"/>
        <v>2</v>
      </c>
      <c r="G196" s="145">
        <f t="shared" si="164"/>
        <v>2</v>
      </c>
      <c r="H196" s="145">
        <f t="shared" si="194"/>
        <v>3</v>
      </c>
      <c r="I196" s="146">
        <f t="shared" si="195"/>
        <v>13.044558795642326</v>
      </c>
      <c r="J196" s="147"/>
      <c r="K196" s="145">
        <f t="shared" si="196"/>
        <v>0.43023783292865475</v>
      </c>
      <c r="L196" s="145">
        <f t="shared" si="197"/>
        <v>6</v>
      </c>
      <c r="M196" s="145">
        <f t="shared" si="198"/>
        <v>38.88</v>
      </c>
      <c r="N196" s="145">
        <f t="shared" si="199"/>
        <v>221.75749952591954</v>
      </c>
      <c r="O196" s="145">
        <f t="shared" si="200"/>
        <v>64.70722723508051</v>
      </c>
      <c r="P196" s="145">
        <f t="shared" si="201"/>
        <v>101.84877977142587</v>
      </c>
      <c r="Q196" s="147">
        <f t="shared" si="202"/>
        <v>427.19350653242594</v>
      </c>
      <c r="R196" s="147"/>
      <c r="S196" s="128">
        <f t="shared" si="203"/>
        <v>0.05847242202604198</v>
      </c>
      <c r="T196" s="128">
        <f t="shared" si="204"/>
        <v>6.3349170382134385</v>
      </c>
      <c r="U196" s="145">
        <f t="shared" si="205"/>
        <v>0</v>
      </c>
      <c r="V196" s="145">
        <f t="shared" si="206"/>
        <v>0</v>
      </c>
      <c r="W196" s="128">
        <f t="shared" si="163"/>
        <v>0</v>
      </c>
      <c r="X196" t="str">
        <f t="shared" si="178"/>
        <v>1221,44</v>
      </c>
      <c r="Y196" s="151">
        <f t="shared" si="179"/>
        <v>0.05847242202604198</v>
      </c>
      <c r="Z196" s="151">
        <f t="shared" si="180"/>
        <v>6.3349170382134385</v>
      </c>
    </row>
    <row r="197" spans="1:26" ht="12.75">
      <c r="A197" s="141">
        <f>+'SMAW-SMAW'!A197</f>
        <v>180</v>
      </c>
      <c r="B197" s="142">
        <v>12</v>
      </c>
      <c r="C197" s="143">
        <v>323.4</v>
      </c>
      <c r="D197" s="143">
        <v>25.4</v>
      </c>
      <c r="E197" s="144" t="s">
        <v>91</v>
      </c>
      <c r="F197" s="145">
        <f>IF($D$6=1,2,3)</f>
        <v>2</v>
      </c>
      <c r="G197" s="145">
        <f t="shared" si="164"/>
        <v>2</v>
      </c>
      <c r="H197" s="145">
        <f t="shared" si="194"/>
        <v>3</v>
      </c>
      <c r="I197" s="146">
        <f t="shared" si="195"/>
        <v>13.044558795642326</v>
      </c>
      <c r="J197" s="147"/>
      <c r="K197" s="145">
        <f t="shared" si="196"/>
        <v>1.1284926765341756</v>
      </c>
      <c r="L197" s="145">
        <f t="shared" si="197"/>
        <v>6</v>
      </c>
      <c r="M197" s="145">
        <f t="shared" si="198"/>
        <v>46.8</v>
      </c>
      <c r="N197" s="145">
        <f t="shared" si="199"/>
        <v>221.75749952591954</v>
      </c>
      <c r="O197" s="145">
        <f t="shared" si="200"/>
        <v>174.19270571404044</v>
      </c>
      <c r="P197" s="145">
        <f t="shared" si="201"/>
        <v>106.03830883305902</v>
      </c>
      <c r="Q197" s="147">
        <f t="shared" si="202"/>
        <v>548.788514073019</v>
      </c>
      <c r="R197" s="147"/>
      <c r="S197" s="128">
        <f t="shared" si="203"/>
        <v>0.0568447628722171</v>
      </c>
      <c r="T197" s="128">
        <f t="shared" si="204"/>
        <v>8.086534658270107</v>
      </c>
      <c r="U197" s="145">
        <f t="shared" si="205"/>
        <v>0</v>
      </c>
      <c r="V197" s="145">
        <f t="shared" si="206"/>
        <v>0</v>
      </c>
      <c r="W197" s="128">
        <f t="shared" si="163"/>
        <v>0</v>
      </c>
      <c r="X197" t="str">
        <f t="shared" si="178"/>
        <v>1225,4</v>
      </c>
      <c r="Y197" s="151">
        <f t="shared" si="179"/>
        <v>0.0568447628722171</v>
      </c>
      <c r="Z197" s="151">
        <f t="shared" si="180"/>
        <v>8.086534658270107</v>
      </c>
    </row>
    <row r="198" spans="1:26" ht="12.75">
      <c r="A198" s="141">
        <f>+'SMAW-SMAW'!A198</f>
        <v>181</v>
      </c>
      <c r="B198" s="142">
        <v>12</v>
      </c>
      <c r="C198" s="143">
        <v>323.4</v>
      </c>
      <c r="D198" s="143">
        <v>25.4</v>
      </c>
      <c r="E198" s="144" t="s">
        <v>83</v>
      </c>
      <c r="F198" s="145">
        <f>IF($D$6=1,2,3)</f>
        <v>2</v>
      </c>
      <c r="G198" s="145">
        <f t="shared" si="164"/>
        <v>2</v>
      </c>
      <c r="H198" s="145">
        <f t="shared" si="194"/>
        <v>3</v>
      </c>
      <c r="I198" s="146">
        <f t="shared" si="195"/>
        <v>13.044558795642326</v>
      </c>
      <c r="J198" s="147"/>
      <c r="K198" s="145">
        <f t="shared" si="196"/>
        <v>1.1284926765341756</v>
      </c>
      <c r="L198" s="145">
        <f t="shared" si="197"/>
        <v>6</v>
      </c>
      <c r="M198" s="145">
        <f t="shared" si="198"/>
        <v>46.8</v>
      </c>
      <c r="N198" s="145">
        <f t="shared" si="199"/>
        <v>221.75749952591954</v>
      </c>
      <c r="O198" s="145">
        <f t="shared" si="200"/>
        <v>174.19270571404044</v>
      </c>
      <c r="P198" s="145">
        <f t="shared" si="201"/>
        <v>106.03830883305902</v>
      </c>
      <c r="Q198" s="147">
        <f t="shared" si="202"/>
        <v>548.788514073019</v>
      </c>
      <c r="R198" s="147"/>
      <c r="S198" s="128">
        <f t="shared" si="203"/>
        <v>0.0568447628722171</v>
      </c>
      <c r="T198" s="128">
        <f t="shared" si="204"/>
        <v>8.086534658270107</v>
      </c>
      <c r="U198" s="145">
        <f t="shared" si="205"/>
        <v>0</v>
      </c>
      <c r="V198" s="145">
        <f t="shared" si="206"/>
        <v>0</v>
      </c>
      <c r="W198" s="128">
        <f t="shared" si="163"/>
        <v>0</v>
      </c>
      <c r="X198" t="str">
        <f t="shared" si="178"/>
        <v>1225,4</v>
      </c>
      <c r="Y198" s="151">
        <f t="shared" si="179"/>
        <v>0.0568447628722171</v>
      </c>
      <c r="Z198" s="151">
        <f t="shared" si="180"/>
        <v>8.086534658270107</v>
      </c>
    </row>
    <row r="199" spans="1:26" ht="12.75">
      <c r="A199" s="141">
        <f>+'SMAW-SMAW'!A199</f>
        <v>182</v>
      </c>
      <c r="B199" s="142">
        <v>12</v>
      </c>
      <c r="C199" s="143">
        <v>323.4</v>
      </c>
      <c r="D199" s="143">
        <v>28.58</v>
      </c>
      <c r="E199" s="144" t="s">
        <v>96</v>
      </c>
      <c r="F199" s="145">
        <f>IF($D$6=1,2,3)</f>
        <v>2</v>
      </c>
      <c r="G199" s="145">
        <f t="shared" si="164"/>
        <v>2</v>
      </c>
      <c r="H199" s="145">
        <f t="shared" si="194"/>
        <v>3</v>
      </c>
      <c r="I199" s="146">
        <f t="shared" si="195"/>
        <v>13.044558795642326</v>
      </c>
      <c r="J199" s="147"/>
      <c r="K199" s="145">
        <f t="shared" si="196"/>
        <v>1.689212475187094</v>
      </c>
      <c r="L199" s="145">
        <f t="shared" si="197"/>
        <v>6</v>
      </c>
      <c r="M199" s="145">
        <f t="shared" si="198"/>
        <v>53.16</v>
      </c>
      <c r="N199" s="145">
        <f t="shared" si="199"/>
        <v>221.75749952591954</v>
      </c>
      <c r="O199" s="145">
        <f t="shared" si="200"/>
        <v>266.1164020367993</v>
      </c>
      <c r="P199" s="145">
        <f t="shared" si="201"/>
        <v>109.40262762497653</v>
      </c>
      <c r="Q199" s="147">
        <f t="shared" si="202"/>
        <v>650.4365291876953</v>
      </c>
      <c r="R199" s="147"/>
      <c r="S199" s="128">
        <f t="shared" si="203"/>
        <v>0.05553770324869107</v>
      </c>
      <c r="T199" s="128">
        <f t="shared" si="204"/>
        <v>9.535295679998184</v>
      </c>
      <c r="U199" s="145">
        <f t="shared" si="205"/>
        <v>0</v>
      </c>
      <c r="V199" s="145">
        <f t="shared" si="206"/>
        <v>0</v>
      </c>
      <c r="W199" s="128">
        <f t="shared" si="163"/>
        <v>0</v>
      </c>
      <c r="X199" t="str">
        <f t="shared" si="178"/>
        <v>1228,58</v>
      </c>
      <c r="Y199" s="151">
        <f t="shared" si="179"/>
        <v>0.05553770324869107</v>
      </c>
      <c r="Z199" s="151">
        <f t="shared" si="180"/>
        <v>9.535295679998184</v>
      </c>
    </row>
    <row r="200" spans="1:26" ht="12.75">
      <c r="A200" s="141">
        <f>+'SMAW-SMAW'!A200</f>
        <v>183</v>
      </c>
      <c r="B200" s="142">
        <v>12</v>
      </c>
      <c r="C200" s="143">
        <v>323.4</v>
      </c>
      <c r="D200" s="143">
        <v>33.34</v>
      </c>
      <c r="E200" s="144" t="s">
        <v>90</v>
      </c>
      <c r="F200" s="145">
        <f>IF($D$6=1,2,3)</f>
        <v>2</v>
      </c>
      <c r="G200" s="145">
        <f t="shared" si="164"/>
        <v>2</v>
      </c>
      <c r="H200" s="145">
        <f t="shared" si="194"/>
        <v>3</v>
      </c>
      <c r="I200" s="146">
        <f t="shared" si="195"/>
        <v>13.044558795642326</v>
      </c>
      <c r="J200" s="147"/>
      <c r="K200" s="145">
        <f t="shared" si="196"/>
        <v>2.5285289033593883</v>
      </c>
      <c r="L200" s="145">
        <f t="shared" si="197"/>
        <v>6</v>
      </c>
      <c r="M200" s="145">
        <f t="shared" si="198"/>
        <v>62.68000000000001</v>
      </c>
      <c r="N200" s="145">
        <f t="shared" si="199"/>
        <v>221.75749952591954</v>
      </c>
      <c r="O200" s="145">
        <f t="shared" si="200"/>
        <v>410.37705073319563</v>
      </c>
      <c r="P200" s="145">
        <f t="shared" si="201"/>
        <v>114.43852619401028</v>
      </c>
      <c r="Q200" s="147">
        <f t="shared" si="202"/>
        <v>809.2530764531253</v>
      </c>
      <c r="R200" s="147"/>
      <c r="S200" s="128">
        <f t="shared" si="203"/>
        <v>0.05358122406379048</v>
      </c>
      <c r="T200" s="128">
        <f t="shared" si="204"/>
        <v>11.772177439701167</v>
      </c>
      <c r="U200" s="145">
        <f t="shared" si="205"/>
        <v>0</v>
      </c>
      <c r="V200" s="145">
        <f t="shared" si="206"/>
        <v>0</v>
      </c>
      <c r="W200" s="128">
        <f t="shared" si="163"/>
        <v>0</v>
      </c>
      <c r="X200" t="str">
        <f t="shared" si="178"/>
        <v>1233,34</v>
      </c>
      <c r="Y200" s="151">
        <f t="shared" si="179"/>
        <v>0.05358122406379048</v>
      </c>
      <c r="Z200" s="151">
        <f t="shared" si="180"/>
        <v>11.772177439701167</v>
      </c>
    </row>
    <row r="201" spans="1:26" ht="12.75">
      <c r="A201" s="141">
        <f>+'SMAW-SMAW'!A201</f>
        <v>184</v>
      </c>
      <c r="B201" s="142"/>
      <c r="C201" s="143"/>
      <c r="D201" s="143"/>
      <c r="E201" s="144"/>
      <c r="F201" s="145"/>
      <c r="G201" s="145">
        <f t="shared" si="164"/>
        <v>0</v>
      </c>
      <c r="H201" s="145"/>
      <c r="I201" s="146"/>
      <c r="J201" s="147"/>
      <c r="K201" s="145"/>
      <c r="L201" s="145"/>
      <c r="M201" s="145"/>
      <c r="N201" s="145"/>
      <c r="O201" s="145"/>
      <c r="P201" s="145"/>
      <c r="Q201" s="147"/>
      <c r="R201" s="147"/>
      <c r="S201" s="128"/>
      <c r="T201" s="128"/>
      <c r="U201" s="145"/>
      <c r="V201" s="145"/>
      <c r="W201" s="128">
        <f t="shared" si="163"/>
        <v>0</v>
      </c>
      <c r="X201">
        <f t="shared" si="178"/>
      </c>
      <c r="Y201" s="151">
        <f t="shared" si="179"/>
        <v>0</v>
      </c>
      <c r="Z201" s="151">
        <f t="shared" si="180"/>
        <v>0</v>
      </c>
    </row>
    <row r="202" spans="1:26" ht="12.75">
      <c r="A202" s="141">
        <f>+'SMAW-SMAW'!A202</f>
        <v>185</v>
      </c>
      <c r="B202" s="142">
        <v>14</v>
      </c>
      <c r="C202" s="143">
        <f aca="true" t="shared" si="207" ref="C202:C316">25.4*B202</f>
        <v>355.59999999999997</v>
      </c>
      <c r="D202" s="143">
        <v>3.96</v>
      </c>
      <c r="E202" s="144" t="s">
        <v>81</v>
      </c>
      <c r="F202" s="145">
        <f t="shared" si="0"/>
        <v>2</v>
      </c>
      <c r="G202" s="145">
        <f t="shared" si="164"/>
        <v>2</v>
      </c>
      <c r="H202" s="145">
        <f>IF(D202&lt;=19,2,3)</f>
        <v>2</v>
      </c>
      <c r="I202" s="146">
        <f>IF(D202&lt;=19,(D202-G202)*TAN($C$8*PI()/180),(19-G202)*TAN($C$8*PI()/180))</f>
        <v>1.5039608964387623</v>
      </c>
      <c r="J202" s="147"/>
      <c r="K202" s="145">
        <f>IF(D202&lt;=19,0,(D202-19)*TAN($C$10*PI()/180))</f>
        <v>0</v>
      </c>
      <c r="L202" s="145">
        <f>+F202*(G202*1.5)</f>
        <v>6</v>
      </c>
      <c r="M202" s="145">
        <f>+F202*(D202-G202)</f>
        <v>3.92</v>
      </c>
      <c r="N202" s="145">
        <f>IF(D202&lt;=19,(D202-G202)*I202,(19-G202)*I202)</f>
        <v>2.947763357019974</v>
      </c>
      <c r="O202" s="145">
        <f>IF(D202&lt;=19,0,(I202*(D202-19)*2)+((K202)*(D202-19)))</f>
        <v>0</v>
      </c>
      <c r="P202" s="145">
        <f>+(5+F202+(2*(I202+K202)))*H202</f>
        <v>20.01584358575505</v>
      </c>
      <c r="Q202" s="147">
        <f>SUM(M202:P202)</f>
        <v>26.883606942775025</v>
      </c>
      <c r="R202" s="147"/>
      <c r="S202" s="128">
        <f>IF(D$6=1,(PI()*(C202-(2*D202)+(2*G202))*L202*0.1*0.01*7.85*0.001/(S$16*S$17)),0)</f>
        <v>0.07227464283044581</v>
      </c>
      <c r="T202" s="128">
        <f>IF(D$6=1,(PI()*(C202-(0.5*D202))*(Q202)*0.1*0.01*7.85*0.001/(T$16*T$17)),0)</f>
        <v>0.45085879160849046</v>
      </c>
      <c r="U202" s="145">
        <f>IF(D$6=1,0,(PI()*(C202-(2*D202)+(2*G202))*L202*0.1*0.01*7.85*0.001/(U$16*U$17)))</f>
        <v>0</v>
      </c>
      <c r="V202" s="145">
        <f>IF(D$6=1,0,(PI()*(C202-(0.5*D202))*(Q202)*0.1*0.01*7.85*0.001/(V$16*V$17)))</f>
        <v>0</v>
      </c>
      <c r="W202" s="128">
        <f t="shared" si="163"/>
        <v>0</v>
      </c>
      <c r="X202" t="str">
        <f t="shared" si="178"/>
        <v>143,96</v>
      </c>
      <c r="Y202" s="151">
        <f t="shared" si="179"/>
        <v>0.07227464283044581</v>
      </c>
      <c r="Z202" s="151">
        <f t="shared" si="180"/>
        <v>0.45085879160849046</v>
      </c>
    </row>
    <row r="203" spans="1:26" ht="12.75">
      <c r="A203" s="141">
        <f>+'SMAW-SMAW'!A203</f>
        <v>186</v>
      </c>
      <c r="B203" s="142">
        <v>14</v>
      </c>
      <c r="C203" s="143">
        <f t="shared" si="207"/>
        <v>355.59999999999997</v>
      </c>
      <c r="D203" s="143">
        <v>4.78</v>
      </c>
      <c r="E203" s="144" t="s">
        <v>84</v>
      </c>
      <c r="F203" s="145">
        <f aca="true" t="shared" si="208" ref="F203:F215">IF($D$6=1,2,3)</f>
        <v>2</v>
      </c>
      <c r="G203" s="145">
        <f t="shared" si="164"/>
        <v>2</v>
      </c>
      <c r="H203" s="145">
        <f aca="true" t="shared" si="209" ref="H203:H215">IF(D203&lt;=19,2,3)</f>
        <v>2</v>
      </c>
      <c r="I203" s="146">
        <f aca="true" t="shared" si="210" ref="I203:I215">IF(D203&lt;=19,(D203-G203)*TAN($C$8*PI()/180),(19-G203)*TAN($C$8*PI()/180))</f>
        <v>2.13316902658151</v>
      </c>
      <c r="J203" s="147"/>
      <c r="K203" s="145">
        <f aca="true" t="shared" si="211" ref="K203:K215">IF(D203&lt;=19,0,(D203-19)*TAN($C$10*PI()/180))</f>
        <v>0</v>
      </c>
      <c r="L203" s="145">
        <f aca="true" t="shared" si="212" ref="L203:L215">+F203*(G203*1.5)</f>
        <v>6</v>
      </c>
      <c r="M203" s="145">
        <f aca="true" t="shared" si="213" ref="M203:M215">+F203*(D203-G203)</f>
        <v>5.5600000000000005</v>
      </c>
      <c r="N203" s="145">
        <f aca="true" t="shared" si="214" ref="N203:N215">IF(D203&lt;=19,(D203-G203)*I203,(19-G203)*I203)</f>
        <v>5.930209893896598</v>
      </c>
      <c r="O203" s="145">
        <f aca="true" t="shared" si="215" ref="O203:O215">IF(D203&lt;=19,0,(I203*(D203-19)*2)+((K203)*(D203-19)))</f>
        <v>0</v>
      </c>
      <c r="P203" s="145">
        <f aca="true" t="shared" si="216" ref="P203:P215">+(5+F203+(2*(I203+K203)))*H203</f>
        <v>22.53267610632604</v>
      </c>
      <c r="Q203" s="147">
        <f aca="true" t="shared" si="217" ref="Q203:Q215">SUM(M203:P203)</f>
        <v>34.02288600022264</v>
      </c>
      <c r="R203" s="147"/>
      <c r="S203" s="128">
        <f aca="true" t="shared" si="218" ref="S203:S215">IF(D$6=1,(PI()*(C203-(2*D203)+(2*G203))*L203*0.1*0.01*7.85*0.001/(S$16*S$17)),0)</f>
        <v>0.0719376022985932</v>
      </c>
      <c r="T203" s="128">
        <f aca="true" t="shared" si="219" ref="T203:T215">IF(D$6=1,(PI()*(C203-(0.5*D203))*(Q203)*0.1*0.01*7.85*0.001/(T$16*T$17)),0)</f>
        <v>0.5699284364140503</v>
      </c>
      <c r="U203" s="145">
        <f aca="true" t="shared" si="220" ref="U203:U215">IF(D$6=1,0,(PI()*(C203-(2*D203)+(2*G203))*L203*0.1*0.01*7.85*0.001/(U$16*U$17)))</f>
        <v>0</v>
      </c>
      <c r="V203" s="145">
        <f aca="true" t="shared" si="221" ref="V203:V215">IF(D$6=1,0,(PI()*(C203-(0.5*D203))*(Q203)*0.1*0.01*7.85*0.001/(V$16*V$17)))</f>
        <v>0</v>
      </c>
      <c r="W203" s="128">
        <f t="shared" si="163"/>
        <v>0</v>
      </c>
      <c r="X203" t="str">
        <f t="shared" si="178"/>
        <v>144,78</v>
      </c>
      <c r="Y203" s="151">
        <f t="shared" si="179"/>
        <v>0.0719376022985932</v>
      </c>
      <c r="Z203" s="151">
        <f t="shared" si="180"/>
        <v>0.5699284364140503</v>
      </c>
    </row>
    <row r="204" spans="1:26" ht="12.75">
      <c r="A204" s="141">
        <f>+'SMAW-SMAW'!A204</f>
        <v>187</v>
      </c>
      <c r="B204" s="142">
        <v>14</v>
      </c>
      <c r="C204" s="143">
        <f t="shared" si="207"/>
        <v>355.59999999999997</v>
      </c>
      <c r="D204" s="143">
        <v>6.35</v>
      </c>
      <c r="E204" s="144" t="s">
        <v>97</v>
      </c>
      <c r="F204" s="145">
        <f t="shared" si="208"/>
        <v>2</v>
      </c>
      <c r="G204" s="145">
        <f t="shared" si="164"/>
        <v>2</v>
      </c>
      <c r="H204" s="145">
        <f t="shared" si="209"/>
        <v>2</v>
      </c>
      <c r="I204" s="146">
        <f t="shared" si="210"/>
        <v>3.337872397708477</v>
      </c>
      <c r="J204" s="147"/>
      <c r="K204" s="145">
        <f t="shared" si="211"/>
        <v>0</v>
      </c>
      <c r="L204" s="145">
        <f t="shared" si="212"/>
        <v>6</v>
      </c>
      <c r="M204" s="145">
        <f t="shared" si="213"/>
        <v>8.7</v>
      </c>
      <c r="N204" s="145">
        <f t="shared" si="214"/>
        <v>14.519744930031875</v>
      </c>
      <c r="O204" s="145">
        <f t="shared" si="215"/>
        <v>0</v>
      </c>
      <c r="P204" s="145">
        <f t="shared" si="216"/>
        <v>27.351489590833907</v>
      </c>
      <c r="Q204" s="147">
        <f t="shared" si="217"/>
        <v>50.57123452086578</v>
      </c>
      <c r="R204" s="147"/>
      <c r="S204" s="128">
        <f t="shared" si="218"/>
        <v>0.07129229298760707</v>
      </c>
      <c r="T204" s="128">
        <f t="shared" si="219"/>
        <v>0.8452524724023952</v>
      </c>
      <c r="U204" s="145">
        <f t="shared" si="220"/>
        <v>0</v>
      </c>
      <c r="V204" s="145">
        <f t="shared" si="221"/>
        <v>0</v>
      </c>
      <c r="W204" s="128">
        <f t="shared" si="163"/>
        <v>0</v>
      </c>
      <c r="X204" t="str">
        <f t="shared" si="178"/>
        <v>146,35</v>
      </c>
      <c r="Y204" s="151">
        <f t="shared" si="179"/>
        <v>0.07129229298760707</v>
      </c>
      <c r="Z204" s="151">
        <f t="shared" si="180"/>
        <v>0.8452524724023952</v>
      </c>
    </row>
    <row r="205" spans="1:26" ht="12.75">
      <c r="A205" s="141">
        <f>+'SMAW-SMAW'!A205</f>
        <v>188</v>
      </c>
      <c r="B205" s="142">
        <v>14</v>
      </c>
      <c r="C205" s="143">
        <f t="shared" si="207"/>
        <v>355.59999999999997</v>
      </c>
      <c r="D205" s="143">
        <v>7.92</v>
      </c>
      <c r="E205" s="144" t="s">
        <v>92</v>
      </c>
      <c r="F205" s="145">
        <f t="shared" si="208"/>
        <v>2</v>
      </c>
      <c r="G205" s="145">
        <f t="shared" si="164"/>
        <v>2</v>
      </c>
      <c r="H205" s="145">
        <f t="shared" si="209"/>
        <v>2</v>
      </c>
      <c r="I205" s="146">
        <f t="shared" si="210"/>
        <v>4.542575768835445</v>
      </c>
      <c r="J205" s="147"/>
      <c r="K205" s="145">
        <f t="shared" si="211"/>
        <v>0</v>
      </c>
      <c r="L205" s="145">
        <f t="shared" si="212"/>
        <v>6</v>
      </c>
      <c r="M205" s="145">
        <f t="shared" si="213"/>
        <v>11.84</v>
      </c>
      <c r="N205" s="145">
        <f t="shared" si="214"/>
        <v>26.892048551505837</v>
      </c>
      <c r="O205" s="145">
        <f t="shared" si="215"/>
        <v>0</v>
      </c>
      <c r="P205" s="145">
        <f t="shared" si="216"/>
        <v>32.17030307534178</v>
      </c>
      <c r="Q205" s="147">
        <f t="shared" si="217"/>
        <v>70.90235162684762</v>
      </c>
      <c r="R205" s="147"/>
      <c r="S205" s="128">
        <f t="shared" si="218"/>
        <v>0.07064698367662095</v>
      </c>
      <c r="T205" s="128">
        <f t="shared" si="219"/>
        <v>1.1824290661921057</v>
      </c>
      <c r="U205" s="145">
        <f t="shared" si="220"/>
        <v>0</v>
      </c>
      <c r="V205" s="145">
        <f t="shared" si="221"/>
        <v>0</v>
      </c>
      <c r="W205" s="128">
        <f t="shared" si="163"/>
        <v>0</v>
      </c>
      <c r="X205" t="str">
        <f t="shared" si="178"/>
        <v>147,92</v>
      </c>
      <c r="Y205" s="151">
        <f t="shared" si="179"/>
        <v>0.07064698367662095</v>
      </c>
      <c r="Z205" s="151">
        <f t="shared" si="180"/>
        <v>1.1824290661921057</v>
      </c>
    </row>
    <row r="206" spans="1:26" ht="12.75">
      <c r="A206" s="141">
        <f>+'SMAW-SMAW'!A206</f>
        <v>189</v>
      </c>
      <c r="B206" s="142">
        <v>14</v>
      </c>
      <c r="C206" s="143">
        <f t="shared" si="207"/>
        <v>355.59999999999997</v>
      </c>
      <c r="D206" s="143">
        <v>9.52</v>
      </c>
      <c r="E206" s="144" t="s">
        <v>93</v>
      </c>
      <c r="F206" s="145">
        <f t="shared" si="208"/>
        <v>2</v>
      </c>
      <c r="G206" s="145">
        <f t="shared" si="164"/>
        <v>2</v>
      </c>
      <c r="H206" s="145">
        <f t="shared" si="209"/>
        <v>2</v>
      </c>
      <c r="I206" s="146">
        <f t="shared" si="210"/>
        <v>5.770298949601782</v>
      </c>
      <c r="J206" s="147"/>
      <c r="K206" s="145">
        <f t="shared" si="211"/>
        <v>0</v>
      </c>
      <c r="L206" s="145">
        <f t="shared" si="212"/>
        <v>6</v>
      </c>
      <c r="M206" s="145">
        <f t="shared" si="213"/>
        <v>15.04</v>
      </c>
      <c r="N206" s="145">
        <f t="shared" si="214"/>
        <v>43.39264810100539</v>
      </c>
      <c r="O206" s="145">
        <f t="shared" si="215"/>
        <v>0</v>
      </c>
      <c r="P206" s="145">
        <f t="shared" si="216"/>
        <v>37.08119579840712</v>
      </c>
      <c r="Q206" s="147">
        <f t="shared" si="217"/>
        <v>95.5138438994125</v>
      </c>
      <c r="R206" s="147"/>
      <c r="S206" s="128">
        <f t="shared" si="218"/>
        <v>0.06998934361446948</v>
      </c>
      <c r="T206" s="128">
        <f t="shared" si="219"/>
        <v>1.5892477728474077</v>
      </c>
      <c r="U206" s="145">
        <f t="shared" si="220"/>
        <v>0</v>
      </c>
      <c r="V206" s="145">
        <f t="shared" si="221"/>
        <v>0</v>
      </c>
      <c r="W206" s="128">
        <f t="shared" si="163"/>
        <v>0</v>
      </c>
      <c r="X206" t="str">
        <f t="shared" si="178"/>
        <v>149,52</v>
      </c>
      <c r="Y206" s="151">
        <f t="shared" si="179"/>
        <v>0.06998934361446948</v>
      </c>
      <c r="Z206" s="151">
        <f t="shared" si="180"/>
        <v>1.5892477728474077</v>
      </c>
    </row>
    <row r="207" spans="1:26" ht="12.75">
      <c r="A207" s="141">
        <f>+'SMAW-SMAW'!A207</f>
        <v>190</v>
      </c>
      <c r="B207" s="142">
        <v>14</v>
      </c>
      <c r="C207" s="143">
        <f t="shared" si="207"/>
        <v>355.59999999999997</v>
      </c>
      <c r="D207" s="143">
        <v>9.52</v>
      </c>
      <c r="E207" s="144" t="s">
        <v>86</v>
      </c>
      <c r="F207" s="145">
        <f t="shared" si="208"/>
        <v>2</v>
      </c>
      <c r="G207" s="145">
        <f aca="true" t="shared" si="222" ref="G207:G260">IF(D207&lt;2,D207,2)</f>
        <v>2</v>
      </c>
      <c r="H207" s="145">
        <f t="shared" si="209"/>
        <v>2</v>
      </c>
      <c r="I207" s="146">
        <f t="shared" si="210"/>
        <v>5.770298949601782</v>
      </c>
      <c r="J207" s="147"/>
      <c r="K207" s="145">
        <f t="shared" si="211"/>
        <v>0</v>
      </c>
      <c r="L207" s="145">
        <f t="shared" si="212"/>
        <v>6</v>
      </c>
      <c r="M207" s="145">
        <f t="shared" si="213"/>
        <v>15.04</v>
      </c>
      <c r="N207" s="145">
        <f t="shared" si="214"/>
        <v>43.39264810100539</v>
      </c>
      <c r="O207" s="145">
        <f t="shared" si="215"/>
        <v>0</v>
      </c>
      <c r="P207" s="145">
        <f t="shared" si="216"/>
        <v>37.08119579840712</v>
      </c>
      <c r="Q207" s="147">
        <f t="shared" si="217"/>
        <v>95.5138438994125</v>
      </c>
      <c r="R207" s="147"/>
      <c r="S207" s="128">
        <f t="shared" si="218"/>
        <v>0.06998934361446948</v>
      </c>
      <c r="T207" s="128">
        <f t="shared" si="219"/>
        <v>1.5892477728474077</v>
      </c>
      <c r="U207" s="145">
        <f t="shared" si="220"/>
        <v>0</v>
      </c>
      <c r="V207" s="145">
        <f t="shared" si="221"/>
        <v>0</v>
      </c>
      <c r="W207" s="128">
        <f t="shared" si="163"/>
        <v>0</v>
      </c>
      <c r="X207" t="str">
        <f t="shared" si="178"/>
        <v>149,52</v>
      </c>
      <c r="Y207" s="151">
        <f t="shared" si="179"/>
        <v>0.06998934361446948</v>
      </c>
      <c r="Z207" s="151">
        <f t="shared" si="180"/>
        <v>1.5892477728474077</v>
      </c>
    </row>
    <row r="208" spans="1:26" ht="12.75">
      <c r="A208" s="141">
        <f>+'SMAW-SMAW'!A208</f>
        <v>191</v>
      </c>
      <c r="B208" s="142">
        <v>14</v>
      </c>
      <c r="C208" s="143">
        <f t="shared" si="207"/>
        <v>355.59999999999997</v>
      </c>
      <c r="D208" s="143">
        <v>11.13</v>
      </c>
      <c r="E208" s="144" t="s">
        <v>87</v>
      </c>
      <c r="F208" s="145">
        <f t="shared" si="208"/>
        <v>2</v>
      </c>
      <c r="G208" s="145">
        <f t="shared" si="222"/>
        <v>2</v>
      </c>
      <c r="H208" s="145">
        <f t="shared" si="209"/>
        <v>2</v>
      </c>
      <c r="I208" s="146">
        <f t="shared" si="210"/>
        <v>7.005695400247909</v>
      </c>
      <c r="J208" s="147"/>
      <c r="K208" s="145">
        <f t="shared" si="211"/>
        <v>0</v>
      </c>
      <c r="L208" s="145">
        <f t="shared" si="212"/>
        <v>6</v>
      </c>
      <c r="M208" s="145">
        <f t="shared" si="213"/>
        <v>18.26</v>
      </c>
      <c r="N208" s="145">
        <f t="shared" si="214"/>
        <v>63.96199900426341</v>
      </c>
      <c r="O208" s="145">
        <f t="shared" si="215"/>
        <v>0</v>
      </c>
      <c r="P208" s="145">
        <f t="shared" si="216"/>
        <v>42.022781600991635</v>
      </c>
      <c r="Q208" s="147">
        <f t="shared" si="217"/>
        <v>124.24478060525504</v>
      </c>
      <c r="R208" s="147"/>
      <c r="S208" s="128">
        <f t="shared" si="218"/>
        <v>0.06932759330192956</v>
      </c>
      <c r="T208" s="128">
        <f t="shared" si="219"/>
        <v>2.06255629513093</v>
      </c>
      <c r="U208" s="145">
        <f t="shared" si="220"/>
        <v>0</v>
      </c>
      <c r="V208" s="145">
        <f t="shared" si="221"/>
        <v>0</v>
      </c>
      <c r="W208" s="128">
        <f t="shared" si="163"/>
        <v>0</v>
      </c>
      <c r="X208" t="str">
        <f t="shared" si="178"/>
        <v>1411,13</v>
      </c>
      <c r="Y208" s="151">
        <f t="shared" si="179"/>
        <v>0.06932759330192956</v>
      </c>
      <c r="Z208" s="151">
        <f t="shared" si="180"/>
        <v>2.06255629513093</v>
      </c>
    </row>
    <row r="209" spans="1:26" ht="12.75">
      <c r="A209" s="141">
        <f>+'SMAW-SMAW'!A209</f>
        <v>192</v>
      </c>
      <c r="B209" s="142">
        <v>14</v>
      </c>
      <c r="C209" s="143">
        <f t="shared" si="207"/>
        <v>355.59999999999997</v>
      </c>
      <c r="D209" s="143">
        <v>12.701</v>
      </c>
      <c r="E209" s="144" t="s">
        <v>82</v>
      </c>
      <c r="F209" s="145">
        <f t="shared" si="208"/>
        <v>2</v>
      </c>
      <c r="G209" s="145">
        <f t="shared" si="222"/>
        <v>2</v>
      </c>
      <c r="H209" s="145">
        <f t="shared" si="209"/>
        <v>2</v>
      </c>
      <c r="I209" s="146">
        <f t="shared" si="210"/>
        <v>8.211166098362856</v>
      </c>
      <c r="J209" s="147"/>
      <c r="K209" s="145">
        <f t="shared" si="211"/>
        <v>0</v>
      </c>
      <c r="L209" s="145">
        <f t="shared" si="212"/>
        <v>6</v>
      </c>
      <c r="M209" s="145">
        <f t="shared" si="213"/>
        <v>21.402</v>
      </c>
      <c r="N209" s="145">
        <f t="shared" si="214"/>
        <v>87.86768841858093</v>
      </c>
      <c r="O209" s="145">
        <f t="shared" si="215"/>
        <v>0</v>
      </c>
      <c r="P209" s="145">
        <f t="shared" si="216"/>
        <v>46.844664393451424</v>
      </c>
      <c r="Q209" s="147">
        <f t="shared" si="217"/>
        <v>156.11435281203234</v>
      </c>
      <c r="R209" s="147"/>
      <c r="S209" s="128">
        <f t="shared" si="218"/>
        <v>0.0686818729659046</v>
      </c>
      <c r="T209" s="128">
        <f t="shared" si="219"/>
        <v>2.5857992896927837</v>
      </c>
      <c r="U209" s="145">
        <f t="shared" si="220"/>
        <v>0</v>
      </c>
      <c r="V209" s="145">
        <f t="shared" si="221"/>
        <v>0</v>
      </c>
      <c r="W209" s="128">
        <f t="shared" si="163"/>
        <v>0</v>
      </c>
      <c r="X209" t="str">
        <f t="shared" si="178"/>
        <v>1412,701</v>
      </c>
      <c r="Y209" s="151">
        <f t="shared" si="179"/>
        <v>0.0686818729659046</v>
      </c>
      <c r="Z209" s="151">
        <f t="shared" si="180"/>
        <v>2.5857992896927837</v>
      </c>
    </row>
    <row r="210" spans="1:26" ht="12.75">
      <c r="A210" s="141">
        <f>+'SMAW-SMAW'!A210</f>
        <v>193</v>
      </c>
      <c r="B210" s="142">
        <v>14</v>
      </c>
      <c r="C210" s="143">
        <f t="shared" si="207"/>
        <v>355.59999999999997</v>
      </c>
      <c r="D210" s="143">
        <v>15.09</v>
      </c>
      <c r="E210" s="144" t="s">
        <v>94</v>
      </c>
      <c r="F210" s="145">
        <f t="shared" si="208"/>
        <v>2</v>
      </c>
      <c r="G210" s="145">
        <f t="shared" si="222"/>
        <v>2</v>
      </c>
      <c r="H210" s="145">
        <f t="shared" si="209"/>
        <v>2</v>
      </c>
      <c r="I210" s="146">
        <f t="shared" si="210"/>
        <v>10.04431027264459</v>
      </c>
      <c r="J210" s="147"/>
      <c r="K210" s="145">
        <f t="shared" si="211"/>
        <v>0</v>
      </c>
      <c r="L210" s="145">
        <f t="shared" si="212"/>
        <v>6</v>
      </c>
      <c r="M210" s="145">
        <f t="shared" si="213"/>
        <v>26.18</v>
      </c>
      <c r="N210" s="145">
        <f t="shared" si="214"/>
        <v>131.4800214689177</v>
      </c>
      <c r="O210" s="145">
        <f t="shared" si="215"/>
        <v>0</v>
      </c>
      <c r="P210" s="145">
        <f t="shared" si="216"/>
        <v>54.17724109057836</v>
      </c>
      <c r="Q210" s="147">
        <f t="shared" si="217"/>
        <v>211.83726255949608</v>
      </c>
      <c r="R210" s="147"/>
      <c r="S210" s="128">
        <f t="shared" si="218"/>
        <v>0.06769993414810468</v>
      </c>
      <c r="T210" s="128">
        <f t="shared" si="219"/>
        <v>3.4967647742534935</v>
      </c>
      <c r="U210" s="145">
        <f t="shared" si="220"/>
        <v>0</v>
      </c>
      <c r="V210" s="145">
        <f t="shared" si="221"/>
        <v>0</v>
      </c>
      <c r="W210" s="128">
        <f t="shared" si="163"/>
        <v>0</v>
      </c>
      <c r="X210" t="str">
        <f t="shared" si="178"/>
        <v>1415,09</v>
      </c>
      <c r="Y210" s="151">
        <f t="shared" si="179"/>
        <v>0.06769993414810468</v>
      </c>
      <c r="Z210" s="151">
        <f t="shared" si="180"/>
        <v>3.4967647742534935</v>
      </c>
    </row>
    <row r="211" spans="1:26" ht="12.75">
      <c r="A211" s="141">
        <f>+'SMAW-SMAW'!A211</f>
        <v>194</v>
      </c>
      <c r="B211" s="142">
        <v>14</v>
      </c>
      <c r="C211" s="143">
        <f t="shared" si="207"/>
        <v>355.59999999999997</v>
      </c>
      <c r="D211" s="143">
        <v>19.05</v>
      </c>
      <c r="E211" s="144" t="s">
        <v>89</v>
      </c>
      <c r="F211" s="145">
        <f t="shared" si="208"/>
        <v>2</v>
      </c>
      <c r="G211" s="145">
        <f t="shared" si="222"/>
        <v>2</v>
      </c>
      <c r="H211" s="145">
        <f t="shared" si="209"/>
        <v>3</v>
      </c>
      <c r="I211" s="146">
        <f t="shared" si="210"/>
        <v>13.044558795642326</v>
      </c>
      <c r="J211" s="147"/>
      <c r="K211" s="145">
        <f t="shared" si="211"/>
        <v>0.008816349035423374</v>
      </c>
      <c r="L211" s="145">
        <f t="shared" si="212"/>
        <v>6</v>
      </c>
      <c r="M211" s="145">
        <f t="shared" si="213"/>
        <v>34.1</v>
      </c>
      <c r="N211" s="145">
        <f t="shared" si="214"/>
        <v>221.75749952591954</v>
      </c>
      <c r="O211" s="145">
        <f t="shared" si="215"/>
        <v>1.3048966970160223</v>
      </c>
      <c r="P211" s="145">
        <f t="shared" si="216"/>
        <v>99.32025086806651</v>
      </c>
      <c r="Q211" s="147">
        <f t="shared" si="217"/>
        <v>356.4826470910021</v>
      </c>
      <c r="R211" s="147"/>
      <c r="S211" s="128">
        <f t="shared" si="218"/>
        <v>0.06607227499427981</v>
      </c>
      <c r="T211" s="128">
        <f t="shared" si="219"/>
        <v>5.850928722158975</v>
      </c>
      <c r="U211" s="145">
        <f t="shared" si="220"/>
        <v>0</v>
      </c>
      <c r="V211" s="145">
        <f t="shared" si="221"/>
        <v>0</v>
      </c>
      <c r="W211" s="128">
        <f aca="true" t="shared" si="223" ref="W211:W274">SUM(U211:V211)</f>
        <v>0</v>
      </c>
      <c r="X211" t="str">
        <f t="shared" si="178"/>
        <v>1419,05</v>
      </c>
      <c r="Y211" s="151">
        <f t="shared" si="179"/>
        <v>0.06607227499427981</v>
      </c>
      <c r="Z211" s="151">
        <f t="shared" si="180"/>
        <v>5.850928722158975</v>
      </c>
    </row>
    <row r="212" spans="1:26" ht="12.75">
      <c r="A212" s="141">
        <f>+'SMAW-SMAW'!A212</f>
        <v>195</v>
      </c>
      <c r="B212" s="142">
        <v>14</v>
      </c>
      <c r="C212" s="143">
        <f t="shared" si="207"/>
        <v>355.59999999999997</v>
      </c>
      <c r="D212" s="143">
        <v>23.82</v>
      </c>
      <c r="E212" s="144" t="s">
        <v>95</v>
      </c>
      <c r="F212" s="145">
        <f t="shared" si="208"/>
        <v>2</v>
      </c>
      <c r="G212" s="145">
        <f t="shared" si="222"/>
        <v>2</v>
      </c>
      <c r="H212" s="145">
        <f t="shared" si="209"/>
        <v>3</v>
      </c>
      <c r="I212" s="146">
        <f t="shared" si="210"/>
        <v>13.044558795642326</v>
      </c>
      <c r="J212" s="147"/>
      <c r="K212" s="145">
        <f t="shared" si="211"/>
        <v>0.8498960470148013</v>
      </c>
      <c r="L212" s="145">
        <f t="shared" si="212"/>
        <v>6</v>
      </c>
      <c r="M212" s="145">
        <f t="shared" si="213"/>
        <v>43.64</v>
      </c>
      <c r="N212" s="145">
        <f t="shared" si="214"/>
        <v>221.75749952591954</v>
      </c>
      <c r="O212" s="145">
        <f t="shared" si="215"/>
        <v>129.84604573660337</v>
      </c>
      <c r="P212" s="145">
        <f t="shared" si="216"/>
        <v>104.36672905594276</v>
      </c>
      <c r="Q212" s="147">
        <f t="shared" si="217"/>
        <v>499.6102743184657</v>
      </c>
      <c r="R212" s="147"/>
      <c r="S212" s="128">
        <f t="shared" si="218"/>
        <v>0.06411168555899077</v>
      </c>
      <c r="T212" s="128">
        <f t="shared" si="219"/>
        <v>8.143562668341795</v>
      </c>
      <c r="U212" s="145">
        <f t="shared" si="220"/>
        <v>0</v>
      </c>
      <c r="V212" s="145">
        <f t="shared" si="221"/>
        <v>0</v>
      </c>
      <c r="W212" s="128">
        <f t="shared" si="223"/>
        <v>0</v>
      </c>
      <c r="X212" t="str">
        <f t="shared" si="178"/>
        <v>1423,82</v>
      </c>
      <c r="Y212" s="151">
        <f t="shared" si="179"/>
        <v>0.06411168555899077</v>
      </c>
      <c r="Z212" s="151">
        <f t="shared" si="180"/>
        <v>8.143562668341795</v>
      </c>
    </row>
    <row r="213" spans="1:26" ht="12.75">
      <c r="A213" s="141">
        <f>+'SMAW-SMAW'!A213</f>
        <v>196</v>
      </c>
      <c r="B213" s="142">
        <v>14</v>
      </c>
      <c r="C213" s="143">
        <f t="shared" si="207"/>
        <v>355.59999999999997</v>
      </c>
      <c r="D213" s="143">
        <v>27.79</v>
      </c>
      <c r="E213" s="144" t="s">
        <v>91</v>
      </c>
      <c r="F213" s="145">
        <f t="shared" si="208"/>
        <v>2</v>
      </c>
      <c r="G213" s="145">
        <f t="shared" si="222"/>
        <v>2</v>
      </c>
      <c r="H213" s="145">
        <f t="shared" si="209"/>
        <v>3</v>
      </c>
      <c r="I213" s="146">
        <f t="shared" si="210"/>
        <v>13.044558795642326</v>
      </c>
      <c r="J213" s="147"/>
      <c r="K213" s="145">
        <f t="shared" si="211"/>
        <v>1.549914160427407</v>
      </c>
      <c r="L213" s="145">
        <f t="shared" si="212"/>
        <v>6</v>
      </c>
      <c r="M213" s="145">
        <f t="shared" si="213"/>
        <v>51.58</v>
      </c>
      <c r="N213" s="145">
        <f t="shared" si="214"/>
        <v>221.75749952591954</v>
      </c>
      <c r="O213" s="145">
        <f t="shared" si="215"/>
        <v>242.94708909754897</v>
      </c>
      <c r="P213" s="145">
        <f t="shared" si="216"/>
        <v>108.56683773641839</v>
      </c>
      <c r="Q213" s="147">
        <f t="shared" si="217"/>
        <v>624.8514263598869</v>
      </c>
      <c r="R213" s="147"/>
      <c r="S213" s="128">
        <f t="shared" si="218"/>
        <v>0.06247991615477746</v>
      </c>
      <c r="T213" s="128">
        <f t="shared" si="219"/>
        <v>10.126148336092905</v>
      </c>
      <c r="U213" s="145">
        <f t="shared" si="220"/>
        <v>0</v>
      </c>
      <c r="V213" s="145">
        <f t="shared" si="221"/>
        <v>0</v>
      </c>
      <c r="W213" s="128">
        <f t="shared" si="223"/>
        <v>0</v>
      </c>
      <c r="X213" t="str">
        <f t="shared" si="178"/>
        <v>1427,79</v>
      </c>
      <c r="Y213" s="151">
        <f t="shared" si="179"/>
        <v>0.06247991615477746</v>
      </c>
      <c r="Z213" s="151">
        <f t="shared" si="180"/>
        <v>10.126148336092905</v>
      </c>
    </row>
    <row r="214" spans="1:26" ht="12.75">
      <c r="A214" s="141">
        <f>+'SMAW-SMAW'!A214</f>
        <v>197</v>
      </c>
      <c r="B214" s="142">
        <v>14</v>
      </c>
      <c r="C214" s="143">
        <f t="shared" si="207"/>
        <v>355.59999999999997</v>
      </c>
      <c r="D214" s="143">
        <v>31.75</v>
      </c>
      <c r="E214" s="144" t="s">
        <v>96</v>
      </c>
      <c r="F214" s="145">
        <f t="shared" si="208"/>
        <v>2</v>
      </c>
      <c r="G214" s="145">
        <f t="shared" si="222"/>
        <v>2</v>
      </c>
      <c r="H214" s="145">
        <f t="shared" si="209"/>
        <v>3</v>
      </c>
      <c r="I214" s="146">
        <f t="shared" si="210"/>
        <v>13.044558795642326</v>
      </c>
      <c r="J214" s="147"/>
      <c r="K214" s="145">
        <f t="shared" si="211"/>
        <v>2.2481690040329285</v>
      </c>
      <c r="L214" s="145">
        <f t="shared" si="212"/>
        <v>6</v>
      </c>
      <c r="M214" s="145">
        <f t="shared" si="213"/>
        <v>59.5</v>
      </c>
      <c r="N214" s="145">
        <f t="shared" si="214"/>
        <v>221.75749952591954</v>
      </c>
      <c r="O214" s="145">
        <f t="shared" si="215"/>
        <v>361.30040409029914</v>
      </c>
      <c r="P214" s="145">
        <f t="shared" si="216"/>
        <v>112.75636679805153</v>
      </c>
      <c r="Q214" s="147">
        <f t="shared" si="217"/>
        <v>755.3142704142703</v>
      </c>
      <c r="R214" s="147"/>
      <c r="S214" s="128">
        <f t="shared" si="218"/>
        <v>0.060852257000952585</v>
      </c>
      <c r="T214" s="128">
        <f t="shared" si="219"/>
        <v>12.169462119034268</v>
      </c>
      <c r="U214" s="145">
        <f t="shared" si="220"/>
        <v>0</v>
      </c>
      <c r="V214" s="145">
        <f t="shared" si="221"/>
        <v>0</v>
      </c>
      <c r="W214" s="128">
        <f t="shared" si="223"/>
        <v>0</v>
      </c>
      <c r="X214" t="str">
        <f t="shared" si="178"/>
        <v>1431,75</v>
      </c>
      <c r="Y214" s="151">
        <f t="shared" si="179"/>
        <v>0.060852257000952585</v>
      </c>
      <c r="Z214" s="151">
        <f t="shared" si="180"/>
        <v>12.169462119034268</v>
      </c>
    </row>
    <row r="215" spans="1:26" ht="12.75">
      <c r="A215" s="141">
        <f>+'SMAW-SMAW'!A215</f>
        <v>198</v>
      </c>
      <c r="B215" s="142">
        <v>14</v>
      </c>
      <c r="C215" s="143">
        <f t="shared" si="207"/>
        <v>355.59999999999997</v>
      </c>
      <c r="D215" s="143">
        <v>35.71</v>
      </c>
      <c r="E215" s="144" t="s">
        <v>90</v>
      </c>
      <c r="F215" s="145">
        <f t="shared" si="208"/>
        <v>2</v>
      </c>
      <c r="G215" s="145">
        <f t="shared" si="222"/>
        <v>2</v>
      </c>
      <c r="H215" s="145">
        <f t="shared" si="209"/>
        <v>3</v>
      </c>
      <c r="I215" s="146">
        <f t="shared" si="210"/>
        <v>13.044558795642326</v>
      </c>
      <c r="J215" s="147"/>
      <c r="K215" s="145">
        <f t="shared" si="211"/>
        <v>2.94642384763845</v>
      </c>
      <c r="L215" s="145">
        <f t="shared" si="212"/>
        <v>6</v>
      </c>
      <c r="M215" s="145">
        <f t="shared" si="213"/>
        <v>67.42</v>
      </c>
      <c r="N215" s="145">
        <f t="shared" si="214"/>
        <v>221.75749952591954</v>
      </c>
      <c r="O215" s="145">
        <f t="shared" si="215"/>
        <v>485.18389744440503</v>
      </c>
      <c r="P215" s="145">
        <f t="shared" si="216"/>
        <v>116.94589585968464</v>
      </c>
      <c r="Q215" s="147">
        <f t="shared" si="217"/>
        <v>891.3072928300091</v>
      </c>
      <c r="R215" s="147"/>
      <c r="S215" s="128">
        <f t="shared" si="218"/>
        <v>0.059224597847127726</v>
      </c>
      <c r="T215" s="128">
        <f t="shared" si="219"/>
        <v>14.276855838768684</v>
      </c>
      <c r="U215" s="145">
        <f t="shared" si="220"/>
        <v>0</v>
      </c>
      <c r="V215" s="145">
        <f t="shared" si="221"/>
        <v>0</v>
      </c>
      <c r="W215" s="128">
        <f t="shared" si="223"/>
        <v>0</v>
      </c>
      <c r="X215" t="str">
        <f t="shared" si="178"/>
        <v>1435,71</v>
      </c>
      <c r="Y215" s="151">
        <f t="shared" si="179"/>
        <v>0.059224597847127726</v>
      </c>
      <c r="Z215" s="151">
        <f t="shared" si="180"/>
        <v>14.276855838768684</v>
      </c>
    </row>
    <row r="216" spans="1:26" ht="12.75">
      <c r="A216" s="141">
        <f>+'SMAW-SMAW'!A216</f>
        <v>199</v>
      </c>
      <c r="B216" s="142"/>
      <c r="C216" s="143"/>
      <c r="D216" s="143"/>
      <c r="E216" s="144"/>
      <c r="F216" s="145"/>
      <c r="G216" s="145">
        <f t="shared" si="222"/>
        <v>0</v>
      </c>
      <c r="H216" s="145"/>
      <c r="I216" s="146"/>
      <c r="J216" s="147"/>
      <c r="K216" s="145"/>
      <c r="L216" s="145"/>
      <c r="M216" s="145"/>
      <c r="N216" s="145"/>
      <c r="O216" s="145"/>
      <c r="P216" s="145"/>
      <c r="Q216" s="147"/>
      <c r="R216" s="147"/>
      <c r="S216" s="128"/>
      <c r="T216" s="128"/>
      <c r="U216" s="145"/>
      <c r="V216" s="145"/>
      <c r="W216" s="128">
        <f t="shared" si="223"/>
        <v>0</v>
      </c>
      <c r="X216">
        <f aca="true" t="shared" si="224" ref="X216:X279">+CONCATENATE(B216,D216)</f>
      </c>
      <c r="Y216" s="151">
        <f aca="true" t="shared" si="225" ref="Y216:Y279">+S216</f>
        <v>0</v>
      </c>
      <c r="Z216" s="151">
        <f aca="true" t="shared" si="226" ref="Z216:Z279">+T216</f>
        <v>0</v>
      </c>
    </row>
    <row r="217" spans="1:26" ht="12.75">
      <c r="A217" s="141">
        <f>+'SMAW-SMAW'!A217</f>
        <v>200</v>
      </c>
      <c r="B217" s="142">
        <v>16</v>
      </c>
      <c r="C217" s="143">
        <f t="shared" si="207"/>
        <v>406.4</v>
      </c>
      <c r="D217" s="143">
        <v>4.19</v>
      </c>
      <c r="E217" s="144" t="s">
        <v>81</v>
      </c>
      <c r="F217" s="145">
        <f t="shared" si="0"/>
        <v>2</v>
      </c>
      <c r="G217" s="145">
        <f t="shared" si="222"/>
        <v>2</v>
      </c>
      <c r="H217" s="145">
        <f>IF(D217&lt;=19,2,3)</f>
        <v>2</v>
      </c>
      <c r="I217" s="146">
        <f>IF(D217&lt;=19,(D217-G217)*TAN($C$8*PI()/180),(19-G217)*TAN($C$8*PI()/180))</f>
        <v>1.6804461036739236</v>
      </c>
      <c r="J217" s="147"/>
      <c r="K217" s="145">
        <f>IF(D217&lt;=19,0,(D217-19)*TAN($C$10*PI()/180))</f>
        <v>0</v>
      </c>
      <c r="L217" s="145">
        <f>+F217*(G217*1.5)</f>
        <v>6</v>
      </c>
      <c r="M217" s="145">
        <f>+F217*(D217-G217)</f>
        <v>4.380000000000001</v>
      </c>
      <c r="N217" s="145">
        <f>IF(D217&lt;=19,(D217-G217)*I217,(19-G217)*I217)</f>
        <v>3.680176967045893</v>
      </c>
      <c r="O217" s="145">
        <f>IF(D217&lt;=19,0,(I217*(D217-19)*2)+((K217)*(D217-19)))</f>
        <v>0</v>
      </c>
      <c r="P217" s="145">
        <f>+(5+F217+(2*(I217+K217)))*H217</f>
        <v>20.721784414695694</v>
      </c>
      <c r="Q217" s="147">
        <f>SUM(M217:P217)</f>
        <v>28.78196138174159</v>
      </c>
      <c r="R217" s="147"/>
      <c r="S217" s="128">
        <f>IF(D$6=1,(PI()*(C217-(2*D217)+(2*G217))*L217*0.1*0.01*7.85*0.001/(S$16*S$17)),0)</f>
        <v>0.082620143058166</v>
      </c>
      <c r="T217" s="128">
        <f>IF(D$6=1,(PI()*(C217-(0.5*D217))*(Q217)*0.1*0.01*7.85*0.001/(T$16*T$17)),0)</f>
        <v>0.5518813070463086</v>
      </c>
      <c r="U217" s="145">
        <f>IF(D$6=1,0,(PI()*(C217-(2*D217)+(2*G217))*L217*0.1*0.01*7.85*0.001/(U$16*U$17)))</f>
        <v>0</v>
      </c>
      <c r="V217" s="145">
        <f>IF(D$6=1,0,(PI()*(C217-(0.5*D217))*(Q217)*0.1*0.01*7.85*0.001/(V$16*V$17)))</f>
        <v>0</v>
      </c>
      <c r="W217" s="128">
        <f t="shared" si="223"/>
        <v>0</v>
      </c>
      <c r="X217" t="str">
        <f t="shared" si="224"/>
        <v>164,19</v>
      </c>
      <c r="Y217" s="151">
        <f t="shared" si="225"/>
        <v>0.082620143058166</v>
      </c>
      <c r="Z217" s="151">
        <f t="shared" si="226"/>
        <v>0.5518813070463086</v>
      </c>
    </row>
    <row r="218" spans="1:26" ht="12.75">
      <c r="A218" s="141">
        <f>+'SMAW-SMAW'!A218</f>
        <v>201</v>
      </c>
      <c r="B218" s="142">
        <v>16</v>
      </c>
      <c r="C218" s="143">
        <f t="shared" si="207"/>
        <v>406.4</v>
      </c>
      <c r="D218" s="143">
        <v>4.78</v>
      </c>
      <c r="E218" s="144" t="s">
        <v>84</v>
      </c>
      <c r="F218" s="145">
        <f aca="true" t="shared" si="227" ref="F218:F230">IF($D$6=1,2,3)</f>
        <v>2</v>
      </c>
      <c r="G218" s="145">
        <f t="shared" si="222"/>
        <v>2</v>
      </c>
      <c r="H218" s="145">
        <f aca="true" t="shared" si="228" ref="H218:H230">IF(D218&lt;=19,2,3)</f>
        <v>2</v>
      </c>
      <c r="I218" s="146">
        <f aca="true" t="shared" si="229" ref="I218:I230">IF(D218&lt;=19,(D218-G218)*TAN($C$8*PI()/180),(19-G218)*TAN($C$8*PI()/180))</f>
        <v>2.13316902658151</v>
      </c>
      <c r="J218" s="147"/>
      <c r="K218" s="145">
        <f aca="true" t="shared" si="230" ref="K218:K230">IF(D218&lt;=19,0,(D218-19)*TAN($C$10*PI()/180))</f>
        <v>0</v>
      </c>
      <c r="L218" s="145">
        <f aca="true" t="shared" si="231" ref="L218:L230">+F218*(G218*1.5)</f>
        <v>6</v>
      </c>
      <c r="M218" s="145">
        <f aca="true" t="shared" si="232" ref="M218:M230">+F218*(D218-G218)</f>
        <v>5.5600000000000005</v>
      </c>
      <c r="N218" s="145">
        <f aca="true" t="shared" si="233" ref="N218:N230">IF(D218&lt;=19,(D218-G218)*I218,(19-G218)*I218)</f>
        <v>5.930209893896598</v>
      </c>
      <c r="O218" s="145">
        <f aca="true" t="shared" si="234" ref="O218:O230">IF(D218&lt;=19,0,(I218*(D218-19)*2)+((K218)*(D218-19)))</f>
        <v>0</v>
      </c>
      <c r="P218" s="145">
        <f aca="true" t="shared" si="235" ref="P218:P230">+(5+F218+(2*(I218+K218)))*H218</f>
        <v>22.53267610632604</v>
      </c>
      <c r="Q218" s="147">
        <f aca="true" t="shared" si="236" ref="Q218:Q230">SUM(M218:P218)</f>
        <v>34.02288600022264</v>
      </c>
      <c r="R218" s="147"/>
      <c r="S218" s="128">
        <f aca="true" t="shared" si="237" ref="S218:S230">IF(D$6=1,(PI()*(C218-(2*D218)+(2*G218))*L218*0.1*0.01*7.85*0.001/(S$16*S$17)),0)</f>
        <v>0.08237763828524766</v>
      </c>
      <c r="T218" s="128">
        <f aca="true" t="shared" si="238" ref="T218:T230">IF(D$6=1,(PI()*(C218-(0.5*D218))*(Q218)*0.1*0.01*7.85*0.001/(T$16*T$17)),0)</f>
        <v>0.6518977027707042</v>
      </c>
      <c r="U218" s="145">
        <f aca="true" t="shared" si="239" ref="U218:U230">IF(D$6=1,0,(PI()*(C218-(2*D218)+(2*G218))*L218*0.1*0.01*7.85*0.001/(U$16*U$17)))</f>
        <v>0</v>
      </c>
      <c r="V218" s="145">
        <f aca="true" t="shared" si="240" ref="V218:V230">IF(D$6=1,0,(PI()*(C218-(0.5*D218))*(Q218)*0.1*0.01*7.85*0.001/(V$16*V$17)))</f>
        <v>0</v>
      </c>
      <c r="W218" s="128">
        <f t="shared" si="223"/>
        <v>0</v>
      </c>
      <c r="X218" t="str">
        <f t="shared" si="224"/>
        <v>164,78</v>
      </c>
      <c r="Y218" s="151">
        <f t="shared" si="225"/>
        <v>0.08237763828524766</v>
      </c>
      <c r="Z218" s="151">
        <f t="shared" si="226"/>
        <v>0.6518977027707042</v>
      </c>
    </row>
    <row r="219" spans="1:26" ht="12.75">
      <c r="A219" s="141">
        <f>+'SMAW-SMAW'!A219</f>
        <v>202</v>
      </c>
      <c r="B219" s="142">
        <v>16</v>
      </c>
      <c r="C219" s="143">
        <f t="shared" si="207"/>
        <v>406.4</v>
      </c>
      <c r="D219" s="143">
        <v>6.35</v>
      </c>
      <c r="E219" s="144" t="s">
        <v>97</v>
      </c>
      <c r="F219" s="145">
        <f t="shared" si="227"/>
        <v>2</v>
      </c>
      <c r="G219" s="145">
        <f t="shared" si="222"/>
        <v>2</v>
      </c>
      <c r="H219" s="145">
        <f t="shared" si="228"/>
        <v>2</v>
      </c>
      <c r="I219" s="146">
        <f t="shared" si="229"/>
        <v>3.337872397708477</v>
      </c>
      <c r="J219" s="147"/>
      <c r="K219" s="145">
        <f t="shared" si="230"/>
        <v>0</v>
      </c>
      <c r="L219" s="145">
        <f t="shared" si="231"/>
        <v>6</v>
      </c>
      <c r="M219" s="145">
        <f t="shared" si="232"/>
        <v>8.7</v>
      </c>
      <c r="N219" s="145">
        <f t="shared" si="233"/>
        <v>14.519744930031875</v>
      </c>
      <c r="O219" s="145">
        <f t="shared" si="234"/>
        <v>0</v>
      </c>
      <c r="P219" s="145">
        <f t="shared" si="235"/>
        <v>27.351489590833907</v>
      </c>
      <c r="Q219" s="147">
        <f t="shared" si="236"/>
        <v>50.57123452086578</v>
      </c>
      <c r="R219" s="147"/>
      <c r="S219" s="128">
        <f t="shared" si="237"/>
        <v>0.08173232897426154</v>
      </c>
      <c r="T219" s="128">
        <f t="shared" si="238"/>
        <v>0.9670906666225605</v>
      </c>
      <c r="U219" s="145">
        <f t="shared" si="239"/>
        <v>0</v>
      </c>
      <c r="V219" s="145">
        <f t="shared" si="240"/>
        <v>0</v>
      </c>
      <c r="W219" s="128">
        <f t="shared" si="223"/>
        <v>0</v>
      </c>
      <c r="X219" t="str">
        <f t="shared" si="224"/>
        <v>166,35</v>
      </c>
      <c r="Y219" s="151">
        <f t="shared" si="225"/>
        <v>0.08173232897426154</v>
      </c>
      <c r="Z219" s="151">
        <f t="shared" si="226"/>
        <v>0.9670906666225605</v>
      </c>
    </row>
    <row r="220" spans="1:26" ht="12.75">
      <c r="A220" s="141">
        <f>+'SMAW-SMAW'!A220</f>
        <v>203</v>
      </c>
      <c r="B220" s="142">
        <v>16</v>
      </c>
      <c r="C220" s="143">
        <f t="shared" si="207"/>
        <v>406.4</v>
      </c>
      <c r="D220" s="143">
        <v>7.92</v>
      </c>
      <c r="E220" s="144" t="s">
        <v>92</v>
      </c>
      <c r="F220" s="145">
        <f t="shared" si="227"/>
        <v>2</v>
      </c>
      <c r="G220" s="145">
        <f t="shared" si="222"/>
        <v>2</v>
      </c>
      <c r="H220" s="145">
        <f t="shared" si="228"/>
        <v>2</v>
      </c>
      <c r="I220" s="146">
        <f t="shared" si="229"/>
        <v>4.542575768835445</v>
      </c>
      <c r="J220" s="147"/>
      <c r="K220" s="145">
        <f t="shared" si="230"/>
        <v>0</v>
      </c>
      <c r="L220" s="145">
        <f t="shared" si="231"/>
        <v>6</v>
      </c>
      <c r="M220" s="145">
        <f t="shared" si="232"/>
        <v>11.84</v>
      </c>
      <c r="N220" s="145">
        <f t="shared" si="233"/>
        <v>26.892048551505837</v>
      </c>
      <c r="O220" s="145">
        <f t="shared" si="234"/>
        <v>0</v>
      </c>
      <c r="P220" s="145">
        <f t="shared" si="235"/>
        <v>32.17030307534178</v>
      </c>
      <c r="Q220" s="147">
        <f t="shared" si="236"/>
        <v>70.90235162684762</v>
      </c>
      <c r="R220" s="147"/>
      <c r="S220" s="128">
        <f t="shared" si="237"/>
        <v>0.08108701966327543</v>
      </c>
      <c r="T220" s="128">
        <f t="shared" si="238"/>
        <v>1.3532497821588871</v>
      </c>
      <c r="U220" s="145">
        <f t="shared" si="239"/>
        <v>0</v>
      </c>
      <c r="V220" s="145">
        <f t="shared" si="240"/>
        <v>0</v>
      </c>
      <c r="W220" s="128">
        <f t="shared" si="223"/>
        <v>0</v>
      </c>
      <c r="X220" t="str">
        <f t="shared" si="224"/>
        <v>167,92</v>
      </c>
      <c r="Y220" s="151">
        <f t="shared" si="225"/>
        <v>0.08108701966327543</v>
      </c>
      <c r="Z220" s="151">
        <f t="shared" si="226"/>
        <v>1.3532497821588871</v>
      </c>
    </row>
    <row r="221" spans="1:26" ht="12.75">
      <c r="A221" s="141">
        <f>+'SMAW-SMAW'!A221</f>
        <v>204</v>
      </c>
      <c r="B221" s="142">
        <v>16</v>
      </c>
      <c r="C221" s="143">
        <f t="shared" si="207"/>
        <v>406.4</v>
      </c>
      <c r="D221" s="143">
        <v>9.52</v>
      </c>
      <c r="E221" s="144" t="s">
        <v>93</v>
      </c>
      <c r="F221" s="145">
        <f t="shared" si="227"/>
        <v>2</v>
      </c>
      <c r="G221" s="145">
        <f t="shared" si="222"/>
        <v>2</v>
      </c>
      <c r="H221" s="145">
        <f t="shared" si="228"/>
        <v>2</v>
      </c>
      <c r="I221" s="146">
        <f t="shared" si="229"/>
        <v>5.770298949601782</v>
      </c>
      <c r="J221" s="147"/>
      <c r="K221" s="145">
        <f t="shared" si="230"/>
        <v>0</v>
      </c>
      <c r="L221" s="145">
        <f t="shared" si="231"/>
        <v>6</v>
      </c>
      <c r="M221" s="145">
        <f t="shared" si="232"/>
        <v>15.04</v>
      </c>
      <c r="N221" s="145">
        <f t="shared" si="233"/>
        <v>43.39264810100539</v>
      </c>
      <c r="O221" s="145">
        <f t="shared" si="234"/>
        <v>0</v>
      </c>
      <c r="P221" s="145">
        <f t="shared" si="235"/>
        <v>37.08119579840712</v>
      </c>
      <c r="Q221" s="147">
        <f t="shared" si="236"/>
        <v>95.5138438994125</v>
      </c>
      <c r="R221" s="147"/>
      <c r="S221" s="128">
        <f t="shared" si="237"/>
        <v>0.08042937960112395</v>
      </c>
      <c r="T221" s="128">
        <f t="shared" si="238"/>
        <v>1.819363457662846</v>
      </c>
      <c r="U221" s="145">
        <f t="shared" si="239"/>
        <v>0</v>
      </c>
      <c r="V221" s="145">
        <f t="shared" si="240"/>
        <v>0</v>
      </c>
      <c r="W221" s="128">
        <f t="shared" si="223"/>
        <v>0</v>
      </c>
      <c r="X221" t="str">
        <f t="shared" si="224"/>
        <v>169,52</v>
      </c>
      <c r="Y221" s="151">
        <f t="shared" si="225"/>
        <v>0.08042937960112395</v>
      </c>
      <c r="Z221" s="151">
        <f t="shared" si="226"/>
        <v>1.819363457662846</v>
      </c>
    </row>
    <row r="222" spans="1:26" ht="12.75">
      <c r="A222" s="141">
        <f>+'SMAW-SMAW'!A222</f>
        <v>205</v>
      </c>
      <c r="B222" s="142">
        <v>16</v>
      </c>
      <c r="C222" s="143">
        <f t="shared" si="207"/>
        <v>406.4</v>
      </c>
      <c r="D222" s="143">
        <v>9.52</v>
      </c>
      <c r="E222" s="144" t="s">
        <v>86</v>
      </c>
      <c r="F222" s="145">
        <f t="shared" si="227"/>
        <v>2</v>
      </c>
      <c r="G222" s="145">
        <f t="shared" si="222"/>
        <v>2</v>
      </c>
      <c r="H222" s="145">
        <f t="shared" si="228"/>
        <v>2</v>
      </c>
      <c r="I222" s="146">
        <f t="shared" si="229"/>
        <v>5.770298949601782</v>
      </c>
      <c r="J222" s="147"/>
      <c r="K222" s="145">
        <f t="shared" si="230"/>
        <v>0</v>
      </c>
      <c r="L222" s="145">
        <f t="shared" si="231"/>
        <v>6</v>
      </c>
      <c r="M222" s="145">
        <f t="shared" si="232"/>
        <v>15.04</v>
      </c>
      <c r="N222" s="145">
        <f t="shared" si="233"/>
        <v>43.39264810100539</v>
      </c>
      <c r="O222" s="145">
        <f t="shared" si="234"/>
        <v>0</v>
      </c>
      <c r="P222" s="145">
        <f t="shared" si="235"/>
        <v>37.08119579840712</v>
      </c>
      <c r="Q222" s="147">
        <f t="shared" si="236"/>
        <v>95.5138438994125</v>
      </c>
      <c r="R222" s="147"/>
      <c r="S222" s="128">
        <f t="shared" si="237"/>
        <v>0.08042937960112395</v>
      </c>
      <c r="T222" s="128">
        <f t="shared" si="238"/>
        <v>1.819363457662846</v>
      </c>
      <c r="U222" s="145">
        <f t="shared" si="239"/>
        <v>0</v>
      </c>
      <c r="V222" s="145">
        <f t="shared" si="240"/>
        <v>0</v>
      </c>
      <c r="W222" s="128">
        <f t="shared" si="223"/>
        <v>0</v>
      </c>
      <c r="X222" t="str">
        <f t="shared" si="224"/>
        <v>169,52</v>
      </c>
      <c r="Y222" s="151">
        <f t="shared" si="225"/>
        <v>0.08042937960112395</v>
      </c>
      <c r="Z222" s="151">
        <f t="shared" si="226"/>
        <v>1.819363457662846</v>
      </c>
    </row>
    <row r="223" spans="1:26" ht="12.75">
      <c r="A223" s="141">
        <f>+'SMAW-SMAW'!A223</f>
        <v>206</v>
      </c>
      <c r="B223" s="142">
        <v>16</v>
      </c>
      <c r="C223" s="143">
        <f t="shared" si="207"/>
        <v>406.4</v>
      </c>
      <c r="D223" s="143">
        <v>12.7</v>
      </c>
      <c r="E223" s="144" t="s">
        <v>87</v>
      </c>
      <c r="F223" s="145">
        <f t="shared" si="227"/>
        <v>2</v>
      </c>
      <c r="G223" s="145">
        <f t="shared" si="222"/>
        <v>2</v>
      </c>
      <c r="H223" s="145">
        <f t="shared" si="228"/>
        <v>2</v>
      </c>
      <c r="I223" s="146">
        <f t="shared" si="229"/>
        <v>8.210398771374875</v>
      </c>
      <c r="J223" s="147"/>
      <c r="K223" s="145">
        <f t="shared" si="230"/>
        <v>0</v>
      </c>
      <c r="L223" s="145">
        <f t="shared" si="231"/>
        <v>6</v>
      </c>
      <c r="M223" s="145">
        <f t="shared" si="232"/>
        <v>21.4</v>
      </c>
      <c r="N223" s="145">
        <f t="shared" si="233"/>
        <v>87.85126685371115</v>
      </c>
      <c r="O223" s="145">
        <f t="shared" si="234"/>
        <v>0</v>
      </c>
      <c r="P223" s="145">
        <f t="shared" si="235"/>
        <v>46.8415950854995</v>
      </c>
      <c r="Q223" s="147">
        <f t="shared" si="236"/>
        <v>156.09286193921065</v>
      </c>
      <c r="R223" s="147"/>
      <c r="S223" s="128">
        <f t="shared" si="237"/>
        <v>0.07912231997759794</v>
      </c>
      <c r="T223" s="128">
        <f t="shared" si="238"/>
        <v>2.961512049289346</v>
      </c>
      <c r="U223" s="145">
        <f t="shared" si="239"/>
        <v>0</v>
      </c>
      <c r="V223" s="145">
        <f t="shared" si="240"/>
        <v>0</v>
      </c>
      <c r="W223" s="128">
        <f t="shared" si="223"/>
        <v>0</v>
      </c>
      <c r="X223" t="str">
        <f t="shared" si="224"/>
        <v>1612,7</v>
      </c>
      <c r="Y223" s="151">
        <f t="shared" si="225"/>
        <v>0.07912231997759794</v>
      </c>
      <c r="Z223" s="151">
        <f t="shared" si="226"/>
        <v>2.961512049289346</v>
      </c>
    </row>
    <row r="224" spans="1:26" ht="12.75">
      <c r="A224" s="141">
        <f>+'SMAW-SMAW'!A224</f>
        <v>207</v>
      </c>
      <c r="B224" s="142">
        <v>16</v>
      </c>
      <c r="C224" s="143">
        <f t="shared" si="207"/>
        <v>406.4</v>
      </c>
      <c r="D224" s="143">
        <v>12.7</v>
      </c>
      <c r="E224" s="144" t="s">
        <v>82</v>
      </c>
      <c r="F224" s="145">
        <f t="shared" si="227"/>
        <v>2</v>
      </c>
      <c r="G224" s="145">
        <f t="shared" si="222"/>
        <v>2</v>
      </c>
      <c r="H224" s="145">
        <f t="shared" si="228"/>
        <v>2</v>
      </c>
      <c r="I224" s="146">
        <f t="shared" si="229"/>
        <v>8.210398771374875</v>
      </c>
      <c r="J224" s="147"/>
      <c r="K224" s="145">
        <f t="shared" si="230"/>
        <v>0</v>
      </c>
      <c r="L224" s="145">
        <f t="shared" si="231"/>
        <v>6</v>
      </c>
      <c r="M224" s="145">
        <f t="shared" si="232"/>
        <v>21.4</v>
      </c>
      <c r="N224" s="145">
        <f t="shared" si="233"/>
        <v>87.85126685371115</v>
      </c>
      <c r="O224" s="145">
        <f t="shared" si="234"/>
        <v>0</v>
      </c>
      <c r="P224" s="145">
        <f t="shared" si="235"/>
        <v>46.8415950854995</v>
      </c>
      <c r="Q224" s="147">
        <f t="shared" si="236"/>
        <v>156.09286193921065</v>
      </c>
      <c r="R224" s="147"/>
      <c r="S224" s="128">
        <f t="shared" si="237"/>
        <v>0.07912231997759794</v>
      </c>
      <c r="T224" s="128">
        <f t="shared" si="238"/>
        <v>2.961512049289346</v>
      </c>
      <c r="U224" s="145">
        <f t="shared" si="239"/>
        <v>0</v>
      </c>
      <c r="V224" s="145">
        <f t="shared" si="240"/>
        <v>0</v>
      </c>
      <c r="W224" s="128">
        <f t="shared" si="223"/>
        <v>0</v>
      </c>
      <c r="X224" t="str">
        <f t="shared" si="224"/>
        <v>1612,7</v>
      </c>
      <c r="Y224" s="151">
        <f t="shared" si="225"/>
        <v>0.07912231997759794</v>
      </c>
      <c r="Z224" s="151">
        <f t="shared" si="226"/>
        <v>2.961512049289346</v>
      </c>
    </row>
    <row r="225" spans="1:26" ht="12.75">
      <c r="A225" s="141">
        <f>+'SMAW-SMAW'!A225</f>
        <v>208</v>
      </c>
      <c r="B225" s="142">
        <v>16</v>
      </c>
      <c r="C225" s="143">
        <f t="shared" si="207"/>
        <v>406.4</v>
      </c>
      <c r="D225" s="143">
        <v>16.64</v>
      </c>
      <c r="E225" s="144" t="s">
        <v>94</v>
      </c>
      <c r="F225" s="145">
        <f t="shared" si="227"/>
        <v>2</v>
      </c>
      <c r="G225" s="145">
        <f t="shared" si="222"/>
        <v>2</v>
      </c>
      <c r="H225" s="145">
        <f t="shared" si="228"/>
        <v>2</v>
      </c>
      <c r="I225" s="146">
        <f t="shared" si="229"/>
        <v>11.23366710401198</v>
      </c>
      <c r="J225" s="147"/>
      <c r="K225" s="145">
        <f t="shared" si="230"/>
        <v>0</v>
      </c>
      <c r="L225" s="145">
        <f t="shared" si="231"/>
        <v>6</v>
      </c>
      <c r="M225" s="145">
        <f t="shared" si="232"/>
        <v>29.28</v>
      </c>
      <c r="N225" s="145">
        <f t="shared" si="233"/>
        <v>164.46088640273538</v>
      </c>
      <c r="O225" s="145">
        <f t="shared" si="234"/>
        <v>0</v>
      </c>
      <c r="P225" s="145">
        <f t="shared" si="235"/>
        <v>58.93466841604792</v>
      </c>
      <c r="Q225" s="147">
        <f t="shared" si="236"/>
        <v>252.6755548187833</v>
      </c>
      <c r="R225" s="147"/>
      <c r="S225" s="128">
        <f t="shared" si="237"/>
        <v>0.07750288132454995</v>
      </c>
      <c r="T225" s="128">
        <f t="shared" si="238"/>
        <v>4.770344816850556</v>
      </c>
      <c r="U225" s="145">
        <f t="shared" si="239"/>
        <v>0</v>
      </c>
      <c r="V225" s="145">
        <f t="shared" si="240"/>
        <v>0</v>
      </c>
      <c r="W225" s="128">
        <f t="shared" si="223"/>
        <v>0</v>
      </c>
      <c r="X225" t="str">
        <f t="shared" si="224"/>
        <v>1616,64</v>
      </c>
      <c r="Y225" s="151">
        <f t="shared" si="225"/>
        <v>0.07750288132454995</v>
      </c>
      <c r="Z225" s="151">
        <f t="shared" si="226"/>
        <v>4.770344816850556</v>
      </c>
    </row>
    <row r="226" spans="1:26" ht="12.75">
      <c r="A226" s="141">
        <f>+'SMAW-SMAW'!A226</f>
        <v>209</v>
      </c>
      <c r="B226" s="142">
        <v>16</v>
      </c>
      <c r="C226" s="143">
        <f t="shared" si="207"/>
        <v>406.4</v>
      </c>
      <c r="D226" s="143">
        <v>21.44</v>
      </c>
      <c r="E226" s="144" t="s">
        <v>89</v>
      </c>
      <c r="F226" s="145">
        <f t="shared" si="227"/>
        <v>2</v>
      </c>
      <c r="G226" s="145">
        <f t="shared" si="222"/>
        <v>2</v>
      </c>
      <c r="H226" s="145">
        <f t="shared" si="228"/>
        <v>3</v>
      </c>
      <c r="I226" s="146">
        <f t="shared" si="229"/>
        <v>13.044558795642326</v>
      </c>
      <c r="J226" s="147"/>
      <c r="K226" s="145">
        <f t="shared" si="230"/>
        <v>0.43023783292865475</v>
      </c>
      <c r="L226" s="145">
        <f t="shared" si="231"/>
        <v>6</v>
      </c>
      <c r="M226" s="145">
        <f t="shared" si="232"/>
        <v>38.88</v>
      </c>
      <c r="N226" s="145">
        <f t="shared" si="233"/>
        <v>221.75749952591954</v>
      </c>
      <c r="O226" s="145">
        <f t="shared" si="234"/>
        <v>64.70722723508051</v>
      </c>
      <c r="P226" s="145">
        <f t="shared" si="235"/>
        <v>101.84877977142587</v>
      </c>
      <c r="Q226" s="147">
        <f t="shared" si="236"/>
        <v>427.19350653242594</v>
      </c>
      <c r="R226" s="147"/>
      <c r="S226" s="128">
        <f t="shared" si="237"/>
        <v>0.07552996113809556</v>
      </c>
      <c r="T226" s="128">
        <f t="shared" si="238"/>
        <v>8.016502410388556</v>
      </c>
      <c r="U226" s="145">
        <f t="shared" si="239"/>
        <v>0</v>
      </c>
      <c r="V226" s="145">
        <f t="shared" si="240"/>
        <v>0</v>
      </c>
      <c r="W226" s="128">
        <f t="shared" si="223"/>
        <v>0</v>
      </c>
      <c r="X226" t="str">
        <f t="shared" si="224"/>
        <v>1621,44</v>
      </c>
      <c r="Y226" s="151">
        <f t="shared" si="225"/>
        <v>0.07552996113809556</v>
      </c>
      <c r="Z226" s="151">
        <f t="shared" si="226"/>
        <v>8.016502410388556</v>
      </c>
    </row>
    <row r="227" spans="1:26" ht="12.75">
      <c r="A227" s="141">
        <f>+'SMAW-SMAW'!A227</f>
        <v>210</v>
      </c>
      <c r="B227" s="142">
        <v>16</v>
      </c>
      <c r="C227" s="143">
        <f t="shared" si="207"/>
        <v>406.4</v>
      </c>
      <c r="D227" s="143">
        <v>26.19</v>
      </c>
      <c r="E227" s="144" t="s">
        <v>95</v>
      </c>
      <c r="F227" s="145">
        <f t="shared" si="227"/>
        <v>2</v>
      </c>
      <c r="G227" s="145">
        <f t="shared" si="222"/>
        <v>2</v>
      </c>
      <c r="H227" s="145">
        <f t="shared" si="228"/>
        <v>3</v>
      </c>
      <c r="I227" s="146">
        <f t="shared" si="229"/>
        <v>13.044558795642326</v>
      </c>
      <c r="J227" s="147"/>
      <c r="K227" s="145">
        <f t="shared" si="230"/>
        <v>1.2677909912938634</v>
      </c>
      <c r="L227" s="145">
        <f t="shared" si="231"/>
        <v>6</v>
      </c>
      <c r="M227" s="145">
        <f t="shared" si="232"/>
        <v>48.38</v>
      </c>
      <c r="N227" s="145">
        <f t="shared" si="233"/>
        <v>221.75749952591954</v>
      </c>
      <c r="O227" s="145">
        <f t="shared" si="234"/>
        <v>196.69617270873954</v>
      </c>
      <c r="P227" s="145">
        <f t="shared" si="235"/>
        <v>106.87409872161713</v>
      </c>
      <c r="Q227" s="147">
        <f t="shared" si="236"/>
        <v>573.7077709562762</v>
      </c>
      <c r="R227" s="147"/>
      <c r="S227" s="128">
        <f t="shared" si="237"/>
        <v>0.0735775922035834</v>
      </c>
      <c r="T227" s="128">
        <f t="shared" si="238"/>
        <v>10.701296220480376</v>
      </c>
      <c r="U227" s="145">
        <f t="shared" si="239"/>
        <v>0</v>
      </c>
      <c r="V227" s="145">
        <f t="shared" si="240"/>
        <v>0</v>
      </c>
      <c r="W227" s="128">
        <f t="shared" si="223"/>
        <v>0</v>
      </c>
      <c r="X227" t="str">
        <f t="shared" si="224"/>
        <v>1626,19</v>
      </c>
      <c r="Y227" s="151">
        <f t="shared" si="225"/>
        <v>0.0735775922035834</v>
      </c>
      <c r="Z227" s="151">
        <f t="shared" si="226"/>
        <v>10.701296220480376</v>
      </c>
    </row>
    <row r="228" spans="1:26" ht="12.75">
      <c r="A228" s="141">
        <f>+'SMAW-SMAW'!A228</f>
        <v>211</v>
      </c>
      <c r="B228" s="142">
        <v>16</v>
      </c>
      <c r="C228" s="143">
        <f t="shared" si="207"/>
        <v>406.4</v>
      </c>
      <c r="D228" s="143">
        <v>30.96</v>
      </c>
      <c r="E228" s="144" t="s">
        <v>91</v>
      </c>
      <c r="F228" s="145">
        <f t="shared" si="227"/>
        <v>2</v>
      </c>
      <c r="G228" s="145">
        <f t="shared" si="222"/>
        <v>2</v>
      </c>
      <c r="H228" s="145">
        <f t="shared" si="228"/>
        <v>3</v>
      </c>
      <c r="I228" s="146">
        <f t="shared" si="229"/>
        <v>13.044558795642326</v>
      </c>
      <c r="J228" s="147"/>
      <c r="K228" s="145">
        <f t="shared" si="230"/>
        <v>2.108870689273241</v>
      </c>
      <c r="L228" s="145">
        <f t="shared" si="231"/>
        <v>6</v>
      </c>
      <c r="M228" s="145">
        <f t="shared" si="232"/>
        <v>57.92</v>
      </c>
      <c r="N228" s="145">
        <f t="shared" si="233"/>
        <v>221.75749952591954</v>
      </c>
      <c r="O228" s="145">
        <f t="shared" si="234"/>
        <v>337.24793983547244</v>
      </c>
      <c r="P228" s="145">
        <f t="shared" si="235"/>
        <v>111.9205769094934</v>
      </c>
      <c r="Q228" s="147">
        <f t="shared" si="236"/>
        <v>728.8460162708853</v>
      </c>
      <c r="R228" s="147"/>
      <c r="S228" s="128">
        <f t="shared" si="237"/>
        <v>0.07161700276829434</v>
      </c>
      <c r="T228" s="128">
        <f t="shared" si="238"/>
        <v>13.512629225018108</v>
      </c>
      <c r="U228" s="145">
        <f t="shared" si="239"/>
        <v>0</v>
      </c>
      <c r="V228" s="145">
        <f t="shared" si="240"/>
        <v>0</v>
      </c>
      <c r="W228" s="128">
        <f t="shared" si="223"/>
        <v>0</v>
      </c>
      <c r="X228" t="str">
        <f t="shared" si="224"/>
        <v>1630,96</v>
      </c>
      <c r="Y228" s="151">
        <f t="shared" si="225"/>
        <v>0.07161700276829434</v>
      </c>
      <c r="Z228" s="151">
        <f t="shared" si="226"/>
        <v>13.512629225018108</v>
      </c>
    </row>
    <row r="229" spans="1:26" ht="12.75">
      <c r="A229" s="141">
        <f>+'SMAW-SMAW'!A229</f>
        <v>212</v>
      </c>
      <c r="B229" s="142">
        <v>16</v>
      </c>
      <c r="C229" s="143">
        <f t="shared" si="207"/>
        <v>406.4</v>
      </c>
      <c r="D229" s="143">
        <v>36.52</v>
      </c>
      <c r="E229" s="144" t="s">
        <v>96</v>
      </c>
      <c r="F229" s="145">
        <f t="shared" si="227"/>
        <v>2</v>
      </c>
      <c r="G229" s="145">
        <f t="shared" si="222"/>
        <v>2</v>
      </c>
      <c r="H229" s="145">
        <f t="shared" si="228"/>
        <v>3</v>
      </c>
      <c r="I229" s="146">
        <f t="shared" si="229"/>
        <v>13.044558795642326</v>
      </c>
      <c r="J229" s="147"/>
      <c r="K229" s="145">
        <f t="shared" si="230"/>
        <v>3.089248702012307</v>
      </c>
      <c r="L229" s="145">
        <f t="shared" si="231"/>
        <v>6</v>
      </c>
      <c r="M229" s="145">
        <f t="shared" si="232"/>
        <v>69.04</v>
      </c>
      <c r="N229" s="145">
        <f t="shared" si="233"/>
        <v>221.75749952591954</v>
      </c>
      <c r="O229" s="145">
        <f t="shared" si="234"/>
        <v>511.20497745856284</v>
      </c>
      <c r="P229" s="145">
        <f t="shared" si="235"/>
        <v>117.8028449859278</v>
      </c>
      <c r="Q229" s="147">
        <f t="shared" si="236"/>
        <v>919.8053219704102</v>
      </c>
      <c r="R229" s="147"/>
      <c r="S229" s="128">
        <f t="shared" si="237"/>
        <v>0.06933170355231803</v>
      </c>
      <c r="T229" s="128">
        <f t="shared" si="238"/>
        <v>16.93169767860055</v>
      </c>
      <c r="U229" s="145">
        <f t="shared" si="239"/>
        <v>0</v>
      </c>
      <c r="V229" s="145">
        <f t="shared" si="240"/>
        <v>0</v>
      </c>
      <c r="W229" s="128">
        <f t="shared" si="223"/>
        <v>0</v>
      </c>
      <c r="X229" t="str">
        <f t="shared" si="224"/>
        <v>1636,52</v>
      </c>
      <c r="Y229" s="151">
        <f t="shared" si="225"/>
        <v>0.06933170355231803</v>
      </c>
      <c r="Z229" s="151">
        <f t="shared" si="226"/>
        <v>16.93169767860055</v>
      </c>
    </row>
    <row r="230" spans="1:26" ht="12.75">
      <c r="A230" s="141">
        <f>+'SMAW-SMAW'!A230</f>
        <v>213</v>
      </c>
      <c r="B230" s="142">
        <v>16</v>
      </c>
      <c r="C230" s="143">
        <f t="shared" si="207"/>
        <v>406.4</v>
      </c>
      <c r="D230" s="143">
        <v>40.49</v>
      </c>
      <c r="E230" s="144" t="s">
        <v>90</v>
      </c>
      <c r="F230" s="145">
        <f t="shared" si="227"/>
        <v>2</v>
      </c>
      <c r="G230" s="145">
        <f t="shared" si="222"/>
        <v>2</v>
      </c>
      <c r="H230" s="145">
        <f t="shared" si="228"/>
        <v>3</v>
      </c>
      <c r="I230" s="146">
        <f t="shared" si="229"/>
        <v>13.044558795642326</v>
      </c>
      <c r="J230" s="147"/>
      <c r="K230" s="145">
        <f t="shared" si="230"/>
        <v>3.7892668154249125</v>
      </c>
      <c r="L230" s="145">
        <f t="shared" si="231"/>
        <v>6</v>
      </c>
      <c r="M230" s="145">
        <f t="shared" si="232"/>
        <v>76.98</v>
      </c>
      <c r="N230" s="145">
        <f t="shared" si="233"/>
        <v>221.75749952591954</v>
      </c>
      <c r="O230" s="145">
        <f t="shared" si="234"/>
        <v>642.0864809001886</v>
      </c>
      <c r="P230" s="145">
        <f t="shared" si="235"/>
        <v>122.00295366640341</v>
      </c>
      <c r="Q230" s="147">
        <f t="shared" si="236"/>
        <v>1062.8269340925117</v>
      </c>
      <c r="R230" s="147"/>
      <c r="S230" s="128">
        <f t="shared" si="237"/>
        <v>0.06769993414810468</v>
      </c>
      <c r="T230" s="128">
        <f t="shared" si="238"/>
        <v>19.464372175005536</v>
      </c>
      <c r="U230" s="145">
        <f t="shared" si="239"/>
        <v>0</v>
      </c>
      <c r="V230" s="145">
        <f t="shared" si="240"/>
        <v>0</v>
      </c>
      <c r="W230" s="128">
        <f t="shared" si="223"/>
        <v>0</v>
      </c>
      <c r="X230" t="str">
        <f t="shared" si="224"/>
        <v>1640,49</v>
      </c>
      <c r="Y230" s="151">
        <f t="shared" si="225"/>
        <v>0.06769993414810468</v>
      </c>
      <c r="Z230" s="151">
        <f t="shared" si="226"/>
        <v>19.464372175005536</v>
      </c>
    </row>
    <row r="231" spans="1:26" ht="12.75">
      <c r="A231" s="141">
        <f>+'SMAW-SMAW'!A231</f>
        <v>214</v>
      </c>
      <c r="B231" s="142"/>
      <c r="C231" s="143"/>
      <c r="D231" s="143"/>
      <c r="E231" s="144"/>
      <c r="F231" s="145"/>
      <c r="G231" s="145"/>
      <c r="H231" s="145"/>
      <c r="I231" s="146"/>
      <c r="J231" s="147"/>
      <c r="K231" s="145"/>
      <c r="L231" s="145"/>
      <c r="M231" s="145"/>
      <c r="N231" s="145"/>
      <c r="O231" s="145"/>
      <c r="P231" s="145"/>
      <c r="Q231" s="147"/>
      <c r="R231" s="147"/>
      <c r="S231" s="128"/>
      <c r="T231" s="128"/>
      <c r="U231" s="145"/>
      <c r="V231" s="145"/>
      <c r="W231" s="128">
        <f t="shared" si="223"/>
        <v>0</v>
      </c>
      <c r="X231">
        <f t="shared" si="224"/>
      </c>
      <c r="Y231" s="151">
        <f t="shared" si="225"/>
        <v>0</v>
      </c>
      <c r="Z231" s="151">
        <f t="shared" si="226"/>
        <v>0</v>
      </c>
    </row>
    <row r="232" spans="1:26" ht="12.75">
      <c r="A232" s="141">
        <f>+'SMAW-SMAW'!A232</f>
        <v>215</v>
      </c>
      <c r="B232" s="142">
        <v>18</v>
      </c>
      <c r="C232" s="143">
        <f t="shared" si="207"/>
        <v>457.2</v>
      </c>
      <c r="D232" s="143">
        <v>4.19</v>
      </c>
      <c r="E232" s="144" t="s">
        <v>81</v>
      </c>
      <c r="F232" s="145">
        <f t="shared" si="0"/>
        <v>2</v>
      </c>
      <c r="G232" s="145">
        <f t="shared" si="222"/>
        <v>2</v>
      </c>
      <c r="H232" s="145">
        <f>IF(D232&lt;=19,2,3)</f>
        <v>2</v>
      </c>
      <c r="I232" s="146">
        <f>IF(D232&lt;=19,(D232-G232)*TAN($C$8*PI()/180),(19-G232)*TAN($C$8*PI()/180))</f>
        <v>1.6804461036739236</v>
      </c>
      <c r="J232" s="147"/>
      <c r="K232" s="145">
        <f>IF(D232&lt;=19,0,(D232-19)*TAN($C$10*PI()/180))</f>
        <v>0</v>
      </c>
      <c r="L232" s="145">
        <f>+F232*(G232*1.5)</f>
        <v>6</v>
      </c>
      <c r="M232" s="145">
        <f>+F232*(D232-G232)</f>
        <v>4.380000000000001</v>
      </c>
      <c r="N232" s="145">
        <f>IF(D232&lt;=19,(D232-G232)*I232,(19-G232)*I232)</f>
        <v>3.680176967045893</v>
      </c>
      <c r="O232" s="145">
        <f>IF(D232&lt;=19,0,(I232*(D232-19)*2)+((K232)*(D232-19)))</f>
        <v>0</v>
      </c>
      <c r="P232" s="145">
        <f>+(5+F232+(2*(I232+K232)))*H232</f>
        <v>20.721784414695694</v>
      </c>
      <c r="Q232" s="147">
        <f>SUM(M232:P232)</f>
        <v>28.78196138174159</v>
      </c>
      <c r="R232" s="147"/>
      <c r="S232" s="128">
        <f>IF(D$6=1,(PI()*(C232-(2*D232)+(2*G232))*L232*0.1*0.01*7.85*0.001/(S$16*S$17)),0)</f>
        <v>0.09306017904482049</v>
      </c>
      <c r="T232" s="128">
        <f>IF(D$6=1,(PI()*(C232-(0.5*D232))*(Q232)*0.1*0.01*7.85*0.001/(T$16*T$17)),0)</f>
        <v>0.6212239330290507</v>
      </c>
      <c r="U232" s="145">
        <f>IF(D$6=1,0,(PI()*(C232-(2*D232)+(2*G232))*L232*0.1*0.01*7.85*0.001/(U$16*U$17)))</f>
        <v>0</v>
      </c>
      <c r="V232" s="145">
        <f>IF(D$6=1,0,(PI()*(C232-(0.5*D232))*(Q232)*0.1*0.01*7.85*0.001/(V$16*V$17)))</f>
        <v>0</v>
      </c>
      <c r="W232" s="128">
        <f t="shared" si="223"/>
        <v>0</v>
      </c>
      <c r="X232" t="str">
        <f t="shared" si="224"/>
        <v>184,19</v>
      </c>
      <c r="Y232" s="151">
        <f t="shared" si="225"/>
        <v>0.09306017904482049</v>
      </c>
      <c r="Z232" s="151">
        <f t="shared" si="226"/>
        <v>0.6212239330290507</v>
      </c>
    </row>
    <row r="233" spans="1:26" ht="12.75">
      <c r="A233" s="141">
        <f>+'SMAW-SMAW'!A233</f>
        <v>216</v>
      </c>
      <c r="B233" s="142">
        <v>18</v>
      </c>
      <c r="C233" s="143">
        <f t="shared" si="207"/>
        <v>457.2</v>
      </c>
      <c r="D233" s="143">
        <v>4.78</v>
      </c>
      <c r="E233" s="144" t="s">
        <v>84</v>
      </c>
      <c r="F233" s="145">
        <f aca="true" t="shared" si="241" ref="F233:F245">IF($D$6=1,2,3)</f>
        <v>2</v>
      </c>
      <c r="G233" s="145">
        <f t="shared" si="222"/>
        <v>2</v>
      </c>
      <c r="H233" s="145">
        <f aca="true" t="shared" si="242" ref="H233:H245">IF(D233&lt;=19,2,3)</f>
        <v>2</v>
      </c>
      <c r="I233" s="146">
        <f aca="true" t="shared" si="243" ref="I233:I245">IF(D233&lt;=19,(D233-G233)*TAN($C$8*PI()/180),(19-G233)*TAN($C$8*PI()/180))</f>
        <v>2.13316902658151</v>
      </c>
      <c r="J233" s="147"/>
      <c r="K233" s="145">
        <f aca="true" t="shared" si="244" ref="K233:K245">IF(D233&lt;=19,0,(D233-19)*TAN($C$10*PI()/180))</f>
        <v>0</v>
      </c>
      <c r="L233" s="145">
        <f aca="true" t="shared" si="245" ref="L233:L245">+F233*(G233*1.5)</f>
        <v>6</v>
      </c>
      <c r="M233" s="145">
        <f aca="true" t="shared" si="246" ref="M233:M245">+F233*(D233-G233)</f>
        <v>5.5600000000000005</v>
      </c>
      <c r="N233" s="145">
        <f aca="true" t="shared" si="247" ref="N233:N245">IF(D233&lt;=19,(D233-G233)*I233,(19-G233)*I233)</f>
        <v>5.930209893896598</v>
      </c>
      <c r="O233" s="145">
        <f aca="true" t="shared" si="248" ref="O233:O245">IF(D233&lt;=19,0,(I233*(D233-19)*2)+((K233)*(D233-19)))</f>
        <v>0</v>
      </c>
      <c r="P233" s="145">
        <f aca="true" t="shared" si="249" ref="P233:P245">+(5+F233+(2*(I233+K233)))*H233</f>
        <v>22.53267610632604</v>
      </c>
      <c r="Q233" s="147">
        <f aca="true" t="shared" si="250" ref="Q233:Q245">SUM(M233:P233)</f>
        <v>34.02288600022264</v>
      </c>
      <c r="R233" s="147"/>
      <c r="S233" s="128">
        <f aca="true" t="shared" si="251" ref="S233:S245">IF(D$6=1,(PI()*(C233-(2*D233)+(2*G233))*L233*0.1*0.01*7.85*0.001/(S$16*S$17)),0)</f>
        <v>0.09281767427190214</v>
      </c>
      <c r="T233" s="128">
        <f aca="true" t="shared" si="252" ref="T233:T245">IF(D$6=1,(PI()*(C233-(0.5*D233))*(Q233)*0.1*0.01*7.85*0.001/(T$16*T$17)),0)</f>
        <v>0.7338669691273583</v>
      </c>
      <c r="U233" s="145">
        <f aca="true" t="shared" si="253" ref="U233:U245">IF(D$6=1,0,(PI()*(C233-(2*D233)+(2*G233))*L233*0.1*0.01*7.85*0.001/(U$16*U$17)))</f>
        <v>0</v>
      </c>
      <c r="V233" s="145">
        <f aca="true" t="shared" si="254" ref="V233:V245">IF(D$6=1,0,(PI()*(C233-(0.5*D233))*(Q233)*0.1*0.01*7.85*0.001/(V$16*V$17)))</f>
        <v>0</v>
      </c>
      <c r="W233" s="128">
        <f t="shared" si="223"/>
        <v>0</v>
      </c>
      <c r="X233" t="str">
        <f t="shared" si="224"/>
        <v>184,78</v>
      </c>
      <c r="Y233" s="151">
        <f t="shared" si="225"/>
        <v>0.09281767427190214</v>
      </c>
      <c r="Z233" s="151">
        <f t="shared" si="226"/>
        <v>0.7338669691273583</v>
      </c>
    </row>
    <row r="234" spans="1:26" ht="12.75">
      <c r="A234" s="141">
        <f>+'SMAW-SMAW'!A234</f>
        <v>217</v>
      </c>
      <c r="B234" s="142">
        <v>18</v>
      </c>
      <c r="C234" s="143">
        <f t="shared" si="207"/>
        <v>457.2</v>
      </c>
      <c r="D234" s="143">
        <v>6.35</v>
      </c>
      <c r="E234" s="144" t="s">
        <v>97</v>
      </c>
      <c r="F234" s="145">
        <f t="shared" si="241"/>
        <v>2</v>
      </c>
      <c r="G234" s="145">
        <f t="shared" si="222"/>
        <v>2</v>
      </c>
      <c r="H234" s="145">
        <f t="shared" si="242"/>
        <v>2</v>
      </c>
      <c r="I234" s="146">
        <f t="shared" si="243"/>
        <v>3.337872397708477</v>
      </c>
      <c r="J234" s="147"/>
      <c r="K234" s="145">
        <f t="shared" si="244"/>
        <v>0</v>
      </c>
      <c r="L234" s="145">
        <f t="shared" si="245"/>
        <v>6</v>
      </c>
      <c r="M234" s="145">
        <f t="shared" si="246"/>
        <v>8.7</v>
      </c>
      <c r="N234" s="145">
        <f t="shared" si="247"/>
        <v>14.519744930031875</v>
      </c>
      <c r="O234" s="145">
        <f t="shared" si="248"/>
        <v>0</v>
      </c>
      <c r="P234" s="145">
        <f t="shared" si="249"/>
        <v>27.351489590833907</v>
      </c>
      <c r="Q234" s="147">
        <f t="shared" si="250"/>
        <v>50.57123452086578</v>
      </c>
      <c r="R234" s="147"/>
      <c r="S234" s="128">
        <f t="shared" si="251"/>
        <v>0.09217236496091603</v>
      </c>
      <c r="T234" s="128">
        <f t="shared" si="252"/>
        <v>1.0889288608427254</v>
      </c>
      <c r="U234" s="145">
        <f t="shared" si="253"/>
        <v>0</v>
      </c>
      <c r="V234" s="145">
        <f t="shared" si="254"/>
        <v>0</v>
      </c>
      <c r="W234" s="128">
        <f t="shared" si="223"/>
        <v>0</v>
      </c>
      <c r="X234" t="str">
        <f t="shared" si="224"/>
        <v>186,35</v>
      </c>
      <c r="Y234" s="151">
        <f t="shared" si="225"/>
        <v>0.09217236496091603</v>
      </c>
      <c r="Z234" s="151">
        <f t="shared" si="226"/>
        <v>1.0889288608427254</v>
      </c>
    </row>
    <row r="235" spans="1:26" ht="12.75">
      <c r="A235" s="141">
        <f>+'SMAW-SMAW'!A235</f>
        <v>218</v>
      </c>
      <c r="B235" s="142">
        <v>18</v>
      </c>
      <c r="C235" s="143">
        <f t="shared" si="207"/>
        <v>457.2</v>
      </c>
      <c r="D235" s="143">
        <v>7.92</v>
      </c>
      <c r="E235" s="144" t="s">
        <v>92</v>
      </c>
      <c r="F235" s="145">
        <f t="shared" si="241"/>
        <v>2</v>
      </c>
      <c r="G235" s="145">
        <f t="shared" si="222"/>
        <v>2</v>
      </c>
      <c r="H235" s="145">
        <f t="shared" si="242"/>
        <v>2</v>
      </c>
      <c r="I235" s="146">
        <f t="shared" si="243"/>
        <v>4.542575768835445</v>
      </c>
      <c r="J235" s="147"/>
      <c r="K235" s="145">
        <f t="shared" si="244"/>
        <v>0</v>
      </c>
      <c r="L235" s="145">
        <f t="shared" si="245"/>
        <v>6</v>
      </c>
      <c r="M235" s="145">
        <f t="shared" si="246"/>
        <v>11.84</v>
      </c>
      <c r="N235" s="145">
        <f t="shared" si="247"/>
        <v>26.892048551505837</v>
      </c>
      <c r="O235" s="145">
        <f t="shared" si="248"/>
        <v>0</v>
      </c>
      <c r="P235" s="145">
        <f t="shared" si="249"/>
        <v>32.17030307534178</v>
      </c>
      <c r="Q235" s="147">
        <f t="shared" si="250"/>
        <v>70.90235162684762</v>
      </c>
      <c r="R235" s="147"/>
      <c r="S235" s="128">
        <f t="shared" si="251"/>
        <v>0.09152705564992994</v>
      </c>
      <c r="T235" s="128">
        <f t="shared" si="252"/>
        <v>1.5240704981256685</v>
      </c>
      <c r="U235" s="145">
        <f t="shared" si="253"/>
        <v>0</v>
      </c>
      <c r="V235" s="145">
        <f t="shared" si="254"/>
        <v>0</v>
      </c>
      <c r="W235" s="128">
        <f t="shared" si="223"/>
        <v>0</v>
      </c>
      <c r="X235" t="str">
        <f t="shared" si="224"/>
        <v>187,92</v>
      </c>
      <c r="Y235" s="151">
        <f t="shared" si="225"/>
        <v>0.09152705564992994</v>
      </c>
      <c r="Z235" s="151">
        <f t="shared" si="226"/>
        <v>1.5240704981256685</v>
      </c>
    </row>
    <row r="236" spans="1:26" ht="12.75">
      <c r="A236" s="141">
        <f>+'SMAW-SMAW'!A236</f>
        <v>219</v>
      </c>
      <c r="B236" s="142">
        <v>18</v>
      </c>
      <c r="C236" s="143">
        <f t="shared" si="207"/>
        <v>457.2</v>
      </c>
      <c r="D236" s="143">
        <v>9.521</v>
      </c>
      <c r="E236" s="144" t="s">
        <v>86</v>
      </c>
      <c r="F236" s="145">
        <f t="shared" si="241"/>
        <v>2</v>
      </c>
      <c r="G236" s="145">
        <f t="shared" si="222"/>
        <v>2</v>
      </c>
      <c r="H236" s="145">
        <f t="shared" si="242"/>
        <v>2</v>
      </c>
      <c r="I236" s="146">
        <f t="shared" si="243"/>
        <v>5.771066276589762</v>
      </c>
      <c r="J236" s="147"/>
      <c r="K236" s="145">
        <f t="shared" si="244"/>
        <v>0</v>
      </c>
      <c r="L236" s="145">
        <f t="shared" si="245"/>
        <v>6</v>
      </c>
      <c r="M236" s="145">
        <f t="shared" si="246"/>
        <v>15.042000000000002</v>
      </c>
      <c r="N236" s="145">
        <f t="shared" si="247"/>
        <v>43.40418946623161</v>
      </c>
      <c r="O236" s="145">
        <f t="shared" si="248"/>
        <v>0</v>
      </c>
      <c r="P236" s="145">
        <f t="shared" si="249"/>
        <v>37.08426510635905</v>
      </c>
      <c r="Q236" s="147">
        <f t="shared" si="250"/>
        <v>95.53045457259066</v>
      </c>
      <c r="R236" s="147"/>
      <c r="S236" s="128">
        <f t="shared" si="251"/>
        <v>0.09086900456273961</v>
      </c>
      <c r="T236" s="128">
        <f t="shared" si="252"/>
        <v>2.0498332990924344</v>
      </c>
      <c r="U236" s="145">
        <f t="shared" si="253"/>
        <v>0</v>
      </c>
      <c r="V236" s="145">
        <f t="shared" si="254"/>
        <v>0</v>
      </c>
      <c r="W236" s="128">
        <f t="shared" si="223"/>
        <v>0</v>
      </c>
      <c r="X236" t="str">
        <f t="shared" si="224"/>
        <v>189,521</v>
      </c>
      <c r="Y236" s="151">
        <f t="shared" si="225"/>
        <v>0.09086900456273961</v>
      </c>
      <c r="Z236" s="151">
        <f t="shared" si="226"/>
        <v>2.0498332990924344</v>
      </c>
    </row>
    <row r="237" spans="1:26" ht="12.75">
      <c r="A237" s="141">
        <f>+'SMAW-SMAW'!A237</f>
        <v>220</v>
      </c>
      <c r="B237" s="142">
        <v>18</v>
      </c>
      <c r="C237" s="143">
        <f t="shared" si="207"/>
        <v>457.2</v>
      </c>
      <c r="D237" s="143">
        <v>11.13</v>
      </c>
      <c r="E237" s="144" t="s">
        <v>93</v>
      </c>
      <c r="F237" s="145">
        <f t="shared" si="241"/>
        <v>2</v>
      </c>
      <c r="G237" s="145">
        <f t="shared" si="222"/>
        <v>2</v>
      </c>
      <c r="H237" s="145">
        <f t="shared" si="242"/>
        <v>2</v>
      </c>
      <c r="I237" s="146">
        <f t="shared" si="243"/>
        <v>7.005695400247909</v>
      </c>
      <c r="J237" s="147"/>
      <c r="K237" s="145">
        <f t="shared" si="244"/>
        <v>0</v>
      </c>
      <c r="L237" s="145">
        <f t="shared" si="245"/>
        <v>6</v>
      </c>
      <c r="M237" s="145">
        <f t="shared" si="246"/>
        <v>18.26</v>
      </c>
      <c r="N237" s="145">
        <f t="shared" si="247"/>
        <v>63.96199900426341</v>
      </c>
      <c r="O237" s="145">
        <f t="shared" si="248"/>
        <v>0</v>
      </c>
      <c r="P237" s="145">
        <f t="shared" si="249"/>
        <v>42.022781600991635</v>
      </c>
      <c r="Q237" s="147">
        <f t="shared" si="250"/>
        <v>124.24478060525504</v>
      </c>
      <c r="R237" s="147"/>
      <c r="S237" s="128">
        <f t="shared" si="251"/>
        <v>0.09020766527523852</v>
      </c>
      <c r="T237" s="128">
        <f t="shared" si="252"/>
        <v>2.6612270554414783</v>
      </c>
      <c r="U237" s="145">
        <f t="shared" si="253"/>
        <v>0</v>
      </c>
      <c r="V237" s="145">
        <f t="shared" si="254"/>
        <v>0</v>
      </c>
      <c r="W237" s="128">
        <f t="shared" si="223"/>
        <v>0</v>
      </c>
      <c r="X237" t="str">
        <f t="shared" si="224"/>
        <v>1811,13</v>
      </c>
      <c r="Y237" s="151">
        <f t="shared" si="225"/>
        <v>0.09020766527523852</v>
      </c>
      <c r="Z237" s="151">
        <f t="shared" si="226"/>
        <v>2.6612270554414783</v>
      </c>
    </row>
    <row r="238" spans="1:26" ht="12.75">
      <c r="A238" s="141">
        <f>+'SMAW-SMAW'!A238</f>
        <v>221</v>
      </c>
      <c r="B238" s="142">
        <v>18</v>
      </c>
      <c r="C238" s="143">
        <f t="shared" si="207"/>
        <v>457.2</v>
      </c>
      <c r="D238" s="143">
        <v>12.7</v>
      </c>
      <c r="E238" s="144" t="s">
        <v>82</v>
      </c>
      <c r="F238" s="145">
        <f t="shared" si="241"/>
        <v>2</v>
      </c>
      <c r="G238" s="145">
        <f t="shared" si="222"/>
        <v>2</v>
      </c>
      <c r="H238" s="145">
        <f t="shared" si="242"/>
        <v>2</v>
      </c>
      <c r="I238" s="146">
        <f t="shared" si="243"/>
        <v>8.210398771374875</v>
      </c>
      <c r="J238" s="147"/>
      <c r="K238" s="145">
        <f t="shared" si="244"/>
        <v>0</v>
      </c>
      <c r="L238" s="145">
        <f t="shared" si="245"/>
        <v>6</v>
      </c>
      <c r="M238" s="145">
        <f t="shared" si="246"/>
        <v>21.4</v>
      </c>
      <c r="N238" s="145">
        <f t="shared" si="247"/>
        <v>87.85126685371115</v>
      </c>
      <c r="O238" s="145">
        <f t="shared" si="248"/>
        <v>0</v>
      </c>
      <c r="P238" s="145">
        <f t="shared" si="249"/>
        <v>46.8415950854995</v>
      </c>
      <c r="Q238" s="147">
        <f t="shared" si="250"/>
        <v>156.09286193921065</v>
      </c>
      <c r="R238" s="147"/>
      <c r="S238" s="128">
        <f t="shared" si="251"/>
        <v>0.08956235596425238</v>
      </c>
      <c r="T238" s="128">
        <f t="shared" si="252"/>
        <v>3.3375770714213266</v>
      </c>
      <c r="U238" s="145">
        <f t="shared" si="253"/>
        <v>0</v>
      </c>
      <c r="V238" s="145">
        <f t="shared" si="254"/>
        <v>0</v>
      </c>
      <c r="W238" s="128">
        <f t="shared" si="223"/>
        <v>0</v>
      </c>
      <c r="X238" t="str">
        <f t="shared" si="224"/>
        <v>1812,7</v>
      </c>
      <c r="Y238" s="151">
        <f t="shared" si="225"/>
        <v>0.08956235596425238</v>
      </c>
      <c r="Z238" s="151">
        <f t="shared" si="226"/>
        <v>3.3375770714213266</v>
      </c>
    </row>
    <row r="239" spans="1:26" ht="12.75">
      <c r="A239" s="141">
        <f>+'SMAW-SMAW'!A239</f>
        <v>222</v>
      </c>
      <c r="B239" s="142">
        <v>18</v>
      </c>
      <c r="C239" s="143">
        <f t="shared" si="207"/>
        <v>457.2</v>
      </c>
      <c r="D239" s="143">
        <v>14.27</v>
      </c>
      <c r="E239" s="144" t="s">
        <v>87</v>
      </c>
      <c r="F239" s="145">
        <f t="shared" si="241"/>
        <v>2</v>
      </c>
      <c r="G239" s="145">
        <f t="shared" si="222"/>
        <v>2</v>
      </c>
      <c r="H239" s="145">
        <f t="shared" si="242"/>
        <v>2</v>
      </c>
      <c r="I239" s="146">
        <f t="shared" si="243"/>
        <v>9.415102142501844</v>
      </c>
      <c r="J239" s="147"/>
      <c r="K239" s="145">
        <f t="shared" si="244"/>
        <v>0</v>
      </c>
      <c r="L239" s="145">
        <f t="shared" si="245"/>
        <v>6</v>
      </c>
      <c r="M239" s="145">
        <f t="shared" si="246"/>
        <v>24.54</v>
      </c>
      <c r="N239" s="145">
        <f t="shared" si="247"/>
        <v>115.52330328849763</v>
      </c>
      <c r="O239" s="145">
        <f t="shared" si="248"/>
        <v>0</v>
      </c>
      <c r="P239" s="145">
        <f t="shared" si="249"/>
        <v>51.66040857000738</v>
      </c>
      <c r="Q239" s="147">
        <f t="shared" si="250"/>
        <v>191.723711858505</v>
      </c>
      <c r="R239" s="147"/>
      <c r="S239" s="128">
        <f t="shared" si="251"/>
        <v>0.08891704665326627</v>
      </c>
      <c r="T239" s="128">
        <f t="shared" si="252"/>
        <v>4.092298034115669</v>
      </c>
      <c r="U239" s="145">
        <f t="shared" si="253"/>
        <v>0</v>
      </c>
      <c r="V239" s="145">
        <f t="shared" si="254"/>
        <v>0</v>
      </c>
      <c r="W239" s="128">
        <f t="shared" si="223"/>
        <v>0</v>
      </c>
      <c r="X239" t="str">
        <f t="shared" si="224"/>
        <v>1814,27</v>
      </c>
      <c r="Y239" s="151">
        <f t="shared" si="225"/>
        <v>0.08891704665326627</v>
      </c>
      <c r="Z239" s="151">
        <f t="shared" si="226"/>
        <v>4.092298034115669</v>
      </c>
    </row>
    <row r="240" spans="1:26" ht="12.75">
      <c r="A240" s="141">
        <f>+'SMAW-SMAW'!A240</f>
        <v>223</v>
      </c>
      <c r="B240" s="142">
        <v>18</v>
      </c>
      <c r="C240" s="143">
        <f t="shared" si="207"/>
        <v>457.2</v>
      </c>
      <c r="D240" s="143">
        <v>19.05</v>
      </c>
      <c r="E240" s="144" t="s">
        <v>94</v>
      </c>
      <c r="F240" s="145">
        <f t="shared" si="241"/>
        <v>2</v>
      </c>
      <c r="G240" s="145">
        <f t="shared" si="222"/>
        <v>2</v>
      </c>
      <c r="H240" s="145">
        <f t="shared" si="242"/>
        <v>3</v>
      </c>
      <c r="I240" s="146">
        <f t="shared" si="243"/>
        <v>13.044558795642326</v>
      </c>
      <c r="J240" s="147"/>
      <c r="K240" s="145">
        <f t="shared" si="244"/>
        <v>0.008816349035423374</v>
      </c>
      <c r="L240" s="145">
        <f t="shared" si="245"/>
        <v>6</v>
      </c>
      <c r="M240" s="145">
        <f t="shared" si="246"/>
        <v>34.1</v>
      </c>
      <c r="N240" s="145">
        <f t="shared" si="247"/>
        <v>221.75749952591954</v>
      </c>
      <c r="O240" s="145">
        <f t="shared" si="248"/>
        <v>1.3048966970160223</v>
      </c>
      <c r="P240" s="145">
        <f t="shared" si="249"/>
        <v>99.32025086806651</v>
      </c>
      <c r="Q240" s="147">
        <f t="shared" si="250"/>
        <v>356.4826470910021</v>
      </c>
      <c r="R240" s="147"/>
      <c r="S240" s="128">
        <f t="shared" si="251"/>
        <v>0.08695234696758879</v>
      </c>
      <c r="T240" s="128">
        <f t="shared" si="252"/>
        <v>7.568632567196472</v>
      </c>
      <c r="U240" s="145">
        <f t="shared" si="253"/>
        <v>0</v>
      </c>
      <c r="V240" s="145">
        <f t="shared" si="254"/>
        <v>0</v>
      </c>
      <c r="W240" s="128">
        <f t="shared" si="223"/>
        <v>0</v>
      </c>
      <c r="X240" t="str">
        <f t="shared" si="224"/>
        <v>1819,05</v>
      </c>
      <c r="Y240" s="151">
        <f t="shared" si="225"/>
        <v>0.08695234696758879</v>
      </c>
      <c r="Z240" s="151">
        <f t="shared" si="226"/>
        <v>7.568632567196472</v>
      </c>
    </row>
    <row r="241" spans="1:26" ht="12.75">
      <c r="A241" s="141">
        <f>+'SMAW-SMAW'!A241</f>
        <v>224</v>
      </c>
      <c r="B241" s="142">
        <v>18</v>
      </c>
      <c r="C241" s="143">
        <f t="shared" si="207"/>
        <v>457.2</v>
      </c>
      <c r="D241" s="143">
        <v>23.82</v>
      </c>
      <c r="E241" s="144" t="s">
        <v>89</v>
      </c>
      <c r="F241" s="145">
        <f t="shared" si="241"/>
        <v>2</v>
      </c>
      <c r="G241" s="145">
        <f t="shared" si="222"/>
        <v>2</v>
      </c>
      <c r="H241" s="145">
        <f t="shared" si="242"/>
        <v>3</v>
      </c>
      <c r="I241" s="146">
        <f t="shared" si="243"/>
        <v>13.044558795642326</v>
      </c>
      <c r="J241" s="147"/>
      <c r="K241" s="145">
        <f t="shared" si="244"/>
        <v>0.8498960470148013</v>
      </c>
      <c r="L241" s="145">
        <f t="shared" si="245"/>
        <v>6</v>
      </c>
      <c r="M241" s="145">
        <f t="shared" si="246"/>
        <v>43.64</v>
      </c>
      <c r="N241" s="145">
        <f t="shared" si="247"/>
        <v>221.75749952591954</v>
      </c>
      <c r="O241" s="145">
        <f t="shared" si="248"/>
        <v>129.84604573660337</v>
      </c>
      <c r="P241" s="145">
        <f t="shared" si="249"/>
        <v>104.36672905594276</v>
      </c>
      <c r="Q241" s="147">
        <f t="shared" si="250"/>
        <v>499.6102743184657</v>
      </c>
      <c r="R241" s="147"/>
      <c r="S241" s="128">
        <f t="shared" si="251"/>
        <v>0.08499175753229975</v>
      </c>
      <c r="T241" s="128">
        <f t="shared" si="252"/>
        <v>10.550923857505072</v>
      </c>
      <c r="U241" s="145">
        <f t="shared" si="253"/>
        <v>0</v>
      </c>
      <c r="V241" s="145">
        <f t="shared" si="254"/>
        <v>0</v>
      </c>
      <c r="W241" s="128">
        <f t="shared" si="223"/>
        <v>0</v>
      </c>
      <c r="X241" t="str">
        <f t="shared" si="224"/>
        <v>1823,82</v>
      </c>
      <c r="Y241" s="151">
        <f t="shared" si="225"/>
        <v>0.08499175753229975</v>
      </c>
      <c r="Z241" s="151">
        <f t="shared" si="226"/>
        <v>10.550923857505072</v>
      </c>
    </row>
    <row r="242" spans="1:26" ht="12.75">
      <c r="A242" s="141">
        <f>+'SMAW-SMAW'!A242</f>
        <v>225</v>
      </c>
      <c r="B242" s="142">
        <v>18</v>
      </c>
      <c r="C242" s="143">
        <f t="shared" si="207"/>
        <v>457.2</v>
      </c>
      <c r="D242" s="143">
        <v>29.36</v>
      </c>
      <c r="E242" s="144" t="s">
        <v>95</v>
      </c>
      <c r="F242" s="145">
        <f t="shared" si="241"/>
        <v>2</v>
      </c>
      <c r="G242" s="145">
        <f t="shared" si="222"/>
        <v>2</v>
      </c>
      <c r="H242" s="145">
        <f t="shared" si="242"/>
        <v>3</v>
      </c>
      <c r="I242" s="146">
        <f t="shared" si="243"/>
        <v>13.044558795642326</v>
      </c>
      <c r="J242" s="147"/>
      <c r="K242" s="145">
        <f t="shared" si="244"/>
        <v>1.826747520139697</v>
      </c>
      <c r="L242" s="145">
        <f t="shared" si="245"/>
        <v>6</v>
      </c>
      <c r="M242" s="145">
        <f t="shared" si="246"/>
        <v>54.72</v>
      </c>
      <c r="N242" s="145">
        <f t="shared" si="247"/>
        <v>221.75749952591954</v>
      </c>
      <c r="O242" s="145">
        <f t="shared" si="248"/>
        <v>289.2083625543562</v>
      </c>
      <c r="P242" s="145">
        <f t="shared" si="249"/>
        <v>110.22783789469213</v>
      </c>
      <c r="Q242" s="147">
        <f t="shared" si="250"/>
        <v>675.9136999749678</v>
      </c>
      <c r="R242" s="147"/>
      <c r="S242" s="128">
        <f t="shared" si="251"/>
        <v>0.08271467881710029</v>
      </c>
      <c r="T242" s="128">
        <f t="shared" si="252"/>
        <v>14.185359241467728</v>
      </c>
      <c r="U242" s="145">
        <f t="shared" si="253"/>
        <v>0</v>
      </c>
      <c r="V242" s="145">
        <f t="shared" si="254"/>
        <v>0</v>
      </c>
      <c r="W242" s="128">
        <f t="shared" si="223"/>
        <v>0</v>
      </c>
      <c r="X242" t="str">
        <f t="shared" si="224"/>
        <v>1829,36</v>
      </c>
      <c r="Y242" s="151">
        <f t="shared" si="225"/>
        <v>0.08271467881710029</v>
      </c>
      <c r="Z242" s="151">
        <f t="shared" si="226"/>
        <v>14.185359241467728</v>
      </c>
    </row>
    <row r="243" spans="1:26" ht="12.75">
      <c r="A243" s="141">
        <f>+'SMAW-SMAW'!A243</f>
        <v>226</v>
      </c>
      <c r="B243" s="142">
        <v>18</v>
      </c>
      <c r="C243" s="143">
        <f t="shared" si="207"/>
        <v>457.2</v>
      </c>
      <c r="D243" s="143">
        <v>34.92</v>
      </c>
      <c r="E243" s="144" t="s">
        <v>91</v>
      </c>
      <c r="F243" s="145">
        <f t="shared" si="241"/>
        <v>2</v>
      </c>
      <c r="G243" s="145">
        <f t="shared" si="222"/>
        <v>2</v>
      </c>
      <c r="H243" s="145">
        <f t="shared" si="242"/>
        <v>3</v>
      </c>
      <c r="I243" s="146">
        <f t="shared" si="243"/>
        <v>13.044558795642326</v>
      </c>
      <c r="J243" s="147"/>
      <c r="K243" s="145">
        <f t="shared" si="244"/>
        <v>2.8071255328787625</v>
      </c>
      <c r="L243" s="145">
        <f t="shared" si="245"/>
        <v>6</v>
      </c>
      <c r="M243" s="145">
        <f t="shared" si="246"/>
        <v>65.84</v>
      </c>
      <c r="N243" s="145">
        <f t="shared" si="247"/>
        <v>221.75749952591954</v>
      </c>
      <c r="O243" s="145">
        <f t="shared" si="248"/>
        <v>460.0281905366816</v>
      </c>
      <c r="P243" s="145">
        <f t="shared" si="249"/>
        <v>116.11010597112653</v>
      </c>
      <c r="Q243" s="147">
        <f t="shared" si="250"/>
        <v>863.7357960337276</v>
      </c>
      <c r="R243" s="147"/>
      <c r="S243" s="128">
        <f t="shared" si="251"/>
        <v>0.08042937960112398</v>
      </c>
      <c r="T243" s="128">
        <f t="shared" si="252"/>
        <v>18.01329147473048</v>
      </c>
      <c r="U243" s="145">
        <f t="shared" si="253"/>
        <v>0</v>
      </c>
      <c r="V243" s="145">
        <f t="shared" si="254"/>
        <v>0</v>
      </c>
      <c r="W243" s="128">
        <f t="shared" si="223"/>
        <v>0</v>
      </c>
      <c r="X243" t="str">
        <f t="shared" si="224"/>
        <v>1834,92</v>
      </c>
      <c r="Y243" s="151">
        <f t="shared" si="225"/>
        <v>0.08042937960112398</v>
      </c>
      <c r="Z243" s="151">
        <f t="shared" si="226"/>
        <v>18.01329147473048</v>
      </c>
    </row>
    <row r="244" spans="1:26" ht="12.75">
      <c r="A244" s="141">
        <f>+'SMAW-SMAW'!A244</f>
        <v>227</v>
      </c>
      <c r="B244" s="142">
        <v>18</v>
      </c>
      <c r="C244" s="143">
        <f t="shared" si="207"/>
        <v>457.2</v>
      </c>
      <c r="D244" s="143">
        <v>39.69</v>
      </c>
      <c r="E244" s="144" t="s">
        <v>96</v>
      </c>
      <c r="F244" s="145">
        <f t="shared" si="241"/>
        <v>2</v>
      </c>
      <c r="G244" s="145">
        <f t="shared" si="222"/>
        <v>2</v>
      </c>
      <c r="H244" s="145">
        <f t="shared" si="242"/>
        <v>3</v>
      </c>
      <c r="I244" s="146">
        <f t="shared" si="243"/>
        <v>13.044558795642326</v>
      </c>
      <c r="J244" s="147"/>
      <c r="K244" s="145">
        <f t="shared" si="244"/>
        <v>3.64820523085814</v>
      </c>
      <c r="L244" s="145">
        <f t="shared" si="245"/>
        <v>6</v>
      </c>
      <c r="M244" s="145">
        <f t="shared" si="246"/>
        <v>75.38</v>
      </c>
      <c r="N244" s="145">
        <f t="shared" si="247"/>
        <v>221.75749952591954</v>
      </c>
      <c r="O244" s="145">
        <f t="shared" si="248"/>
        <v>615.2652091901343</v>
      </c>
      <c r="P244" s="145">
        <f t="shared" si="249"/>
        <v>121.15658415900279</v>
      </c>
      <c r="Q244" s="147">
        <f t="shared" si="250"/>
        <v>1033.5592928750566</v>
      </c>
      <c r="R244" s="147"/>
      <c r="S244" s="128">
        <f t="shared" si="251"/>
        <v>0.0784687901658349</v>
      </c>
      <c r="T244" s="128">
        <f t="shared" si="252"/>
        <v>21.438069663599382</v>
      </c>
      <c r="U244" s="145">
        <f t="shared" si="253"/>
        <v>0</v>
      </c>
      <c r="V244" s="145">
        <f t="shared" si="254"/>
        <v>0</v>
      </c>
      <c r="W244" s="128">
        <f t="shared" si="223"/>
        <v>0</v>
      </c>
      <c r="X244" t="str">
        <f t="shared" si="224"/>
        <v>1839,69</v>
      </c>
      <c r="Y244" s="151">
        <f t="shared" si="225"/>
        <v>0.0784687901658349</v>
      </c>
      <c r="Z244" s="151">
        <f t="shared" si="226"/>
        <v>21.438069663599382</v>
      </c>
    </row>
    <row r="245" spans="1:26" ht="12.75">
      <c r="A245" s="141">
        <f>+'SMAW-SMAW'!A245</f>
        <v>228</v>
      </c>
      <c r="B245" s="142">
        <v>18</v>
      </c>
      <c r="C245" s="143">
        <f t="shared" si="207"/>
        <v>457.2</v>
      </c>
      <c r="D245" s="143">
        <v>45.24</v>
      </c>
      <c r="E245" s="144" t="s">
        <v>90</v>
      </c>
      <c r="F245" s="145">
        <f t="shared" si="241"/>
        <v>2</v>
      </c>
      <c r="G245" s="145">
        <f t="shared" si="222"/>
        <v>2</v>
      </c>
      <c r="H245" s="145">
        <f t="shared" si="242"/>
        <v>3</v>
      </c>
      <c r="I245" s="146">
        <f t="shared" si="243"/>
        <v>13.044558795642326</v>
      </c>
      <c r="J245" s="147"/>
      <c r="K245" s="145">
        <f t="shared" si="244"/>
        <v>4.626819973790122</v>
      </c>
      <c r="L245" s="145">
        <f t="shared" si="245"/>
        <v>6</v>
      </c>
      <c r="M245" s="145">
        <f t="shared" si="246"/>
        <v>86.48</v>
      </c>
      <c r="N245" s="145">
        <f t="shared" si="247"/>
        <v>221.75749952591954</v>
      </c>
      <c r="O245" s="145">
        <f t="shared" si="248"/>
        <v>805.986201707562</v>
      </c>
      <c r="P245" s="145">
        <f t="shared" si="249"/>
        <v>127.02827261659468</v>
      </c>
      <c r="Q245" s="147">
        <f t="shared" si="250"/>
        <v>1241.2519738500762</v>
      </c>
      <c r="R245" s="147"/>
      <c r="S245" s="128">
        <f t="shared" si="251"/>
        <v>0.07618760120024702</v>
      </c>
      <c r="T245" s="128">
        <f t="shared" si="252"/>
        <v>25.58267028055918</v>
      </c>
      <c r="U245" s="145">
        <f t="shared" si="253"/>
        <v>0</v>
      </c>
      <c r="V245" s="145">
        <f t="shared" si="254"/>
        <v>0</v>
      </c>
      <c r="W245" s="128">
        <f t="shared" si="223"/>
        <v>0</v>
      </c>
      <c r="X245" t="str">
        <f t="shared" si="224"/>
        <v>1845,24</v>
      </c>
      <c r="Y245" s="151">
        <f t="shared" si="225"/>
        <v>0.07618760120024702</v>
      </c>
      <c r="Z245" s="151">
        <f t="shared" si="226"/>
        <v>25.58267028055918</v>
      </c>
    </row>
    <row r="246" spans="1:26" ht="12.75">
      <c r="A246" s="141">
        <f>+'SMAW-SMAW'!A246</f>
        <v>229</v>
      </c>
      <c r="B246" s="142"/>
      <c r="C246" s="143"/>
      <c r="D246" s="143"/>
      <c r="E246" s="144"/>
      <c r="F246" s="145"/>
      <c r="G246" s="145">
        <f t="shared" si="222"/>
        <v>0</v>
      </c>
      <c r="H246" s="145"/>
      <c r="I246" s="146"/>
      <c r="J246" s="147"/>
      <c r="K246" s="145"/>
      <c r="L246" s="145"/>
      <c r="M246" s="145"/>
      <c r="N246" s="145"/>
      <c r="O246" s="145"/>
      <c r="P246" s="145"/>
      <c r="Q246" s="147"/>
      <c r="R246" s="147"/>
      <c r="S246" s="128"/>
      <c r="T246" s="128"/>
      <c r="U246" s="145"/>
      <c r="V246" s="145"/>
      <c r="W246" s="128">
        <f t="shared" si="223"/>
        <v>0</v>
      </c>
      <c r="X246">
        <f t="shared" si="224"/>
      </c>
      <c r="Y246" s="151">
        <f t="shared" si="225"/>
        <v>0</v>
      </c>
      <c r="Z246" s="151">
        <f t="shared" si="226"/>
        <v>0</v>
      </c>
    </row>
    <row r="247" spans="1:26" ht="12.75">
      <c r="A247" s="141">
        <f>+'SMAW-SMAW'!A247</f>
        <v>230</v>
      </c>
      <c r="B247" s="142">
        <v>20</v>
      </c>
      <c r="C247" s="143">
        <f t="shared" si="207"/>
        <v>508</v>
      </c>
      <c r="D247" s="143">
        <v>4.78</v>
      </c>
      <c r="E247" s="144" t="s">
        <v>81</v>
      </c>
      <c r="F247" s="145">
        <f t="shared" si="0"/>
        <v>2</v>
      </c>
      <c r="G247" s="145">
        <f t="shared" si="222"/>
        <v>2</v>
      </c>
      <c r="H247" s="145">
        <f>IF(D247&lt;=19,2,3)</f>
        <v>2</v>
      </c>
      <c r="I247" s="146">
        <f>IF(D247&lt;=19,(D247-G247)*TAN($C$8*PI()/180),(19-G247)*TAN($C$8*PI()/180))</f>
        <v>2.13316902658151</v>
      </c>
      <c r="J247" s="147"/>
      <c r="K247" s="145">
        <f>IF(D247&lt;=19,0,(D247-19)*TAN($C$10*PI()/180))</f>
        <v>0</v>
      </c>
      <c r="L247" s="145">
        <f>+F247*(G247*1.5)</f>
        <v>6</v>
      </c>
      <c r="M247" s="145">
        <f>+F247*(D247-G247)</f>
        <v>5.5600000000000005</v>
      </c>
      <c r="N247" s="145">
        <f>IF(D247&lt;=19,(D247-G247)*I247,(19-G247)*I247)</f>
        <v>5.930209893896598</v>
      </c>
      <c r="O247" s="145">
        <f>IF(D247&lt;=19,0,(I247*(D247-19)*2)+((K247)*(D247-19)))</f>
        <v>0</v>
      </c>
      <c r="P247" s="145">
        <f>+(5+F247+(2*(I247+K247)))*H247</f>
        <v>22.53267610632604</v>
      </c>
      <c r="Q247" s="147">
        <f>SUM(M247:P247)</f>
        <v>34.02288600022264</v>
      </c>
      <c r="R247" s="147"/>
      <c r="S247" s="128">
        <f>IF(D$6=1,(PI()*(C247-(2*D247)+(2*G247))*L247*0.1*0.01*7.85*0.001/(S$16*S$17)),0)</f>
        <v>0.10325771025855662</v>
      </c>
      <c r="T247" s="128">
        <f>IF(D$6=1,(PI()*(C247-(0.5*D247))*(Q247)*0.1*0.01*7.85*0.001/(T$16*T$17)),0)</f>
        <v>0.8158362354840124</v>
      </c>
      <c r="U247" s="145">
        <f>IF(D$6=1,0,(PI()*(C247-(2*D247)+(2*G247))*L247*0.1*0.01*7.85*0.001/(U$16*U$17)))</f>
        <v>0</v>
      </c>
      <c r="V247" s="145">
        <f>IF(D$6=1,0,(PI()*(C247-(0.5*D247))*(Q247)*0.1*0.01*7.85*0.001/(V$16*V$17)))</f>
        <v>0</v>
      </c>
      <c r="W247" s="128">
        <f t="shared" si="223"/>
        <v>0</v>
      </c>
      <c r="X247" t="str">
        <f t="shared" si="224"/>
        <v>204,78</v>
      </c>
      <c r="Y247" s="151">
        <f t="shared" si="225"/>
        <v>0.10325771025855662</v>
      </c>
      <c r="Z247" s="151">
        <f t="shared" si="226"/>
        <v>0.8158362354840124</v>
      </c>
    </row>
    <row r="248" spans="1:26" ht="12.75">
      <c r="A248" s="141">
        <f>+'SMAW-SMAW'!A248</f>
        <v>231</v>
      </c>
      <c r="B248" s="142">
        <v>20</v>
      </c>
      <c r="C248" s="143">
        <f t="shared" si="207"/>
        <v>508</v>
      </c>
      <c r="D248" s="143">
        <v>5.54</v>
      </c>
      <c r="E248" s="144" t="s">
        <v>84</v>
      </c>
      <c r="F248" s="145">
        <f aca="true" t="shared" si="255" ref="F248:F260">IF($D$6=1,2,3)</f>
        <v>2</v>
      </c>
      <c r="G248" s="145">
        <f t="shared" si="222"/>
        <v>2</v>
      </c>
      <c r="H248" s="145">
        <f aca="true" t="shared" si="256" ref="H248:H260">IF(D248&lt;=19,2,3)</f>
        <v>2</v>
      </c>
      <c r="I248" s="146">
        <f aca="true" t="shared" si="257" ref="I248:I260">IF(D248&lt;=19,(D248-G248)*TAN($C$8*PI()/180),(19-G248)*TAN($C$8*PI()/180))</f>
        <v>2.71633753744552</v>
      </c>
      <c r="J248" s="147"/>
      <c r="K248" s="145">
        <f aca="true" t="shared" si="258" ref="K248:K260">IF(D248&lt;=19,0,(D248-19)*TAN($C$10*PI()/180))</f>
        <v>0</v>
      </c>
      <c r="L248" s="145">
        <f aca="true" t="shared" si="259" ref="L248:L260">+F248*(G248*1.5)</f>
        <v>6</v>
      </c>
      <c r="M248" s="145">
        <f aca="true" t="shared" si="260" ref="M248:M260">+F248*(D248-G248)</f>
        <v>7.08</v>
      </c>
      <c r="N248" s="145">
        <f aca="true" t="shared" si="261" ref="N248:N260">IF(D248&lt;=19,(D248-G248)*I248,(19-G248)*I248)</f>
        <v>9.61583488255714</v>
      </c>
      <c r="O248" s="145">
        <f aca="true" t="shared" si="262" ref="O248:O260">IF(D248&lt;=19,0,(I248*(D248-19)*2)+((K248)*(D248-19)))</f>
        <v>0</v>
      </c>
      <c r="P248" s="145">
        <f aca="true" t="shared" si="263" ref="P248:P260">+(5+F248+(2*(I248+K248)))*H248</f>
        <v>24.86535014978208</v>
      </c>
      <c r="Q248" s="147">
        <f aca="true" t="shared" si="264" ref="Q248:Q260">SUM(M248:P248)</f>
        <v>41.561185032339225</v>
      </c>
      <c r="R248" s="147"/>
      <c r="S248" s="128">
        <f aca="true" t="shared" si="265" ref="S248:S260">IF(D$6=1,(PI()*(C248-(2*D248)+(2*G248))*L248*0.1*0.01*7.85*0.001/(S$16*S$17)),0)</f>
        <v>0.1029453312290347</v>
      </c>
      <c r="T248" s="128">
        <f aca="true" t="shared" si="266" ref="T248:T260">IF(D$6=1,(PI()*(C248-(0.5*D248))*(Q248)*0.1*0.01*7.85*0.001/(T$16*T$17)),0)</f>
        <v>0.995848419554393</v>
      </c>
      <c r="U248" s="145">
        <f aca="true" t="shared" si="267" ref="U248:U260">IF(D$6=1,0,(PI()*(C248-(2*D248)+(2*G248))*L248*0.1*0.01*7.85*0.001/(U$16*U$17)))</f>
        <v>0</v>
      </c>
      <c r="V248" s="145">
        <f aca="true" t="shared" si="268" ref="V248:V260">IF(D$6=1,0,(PI()*(C248-(0.5*D248))*(Q248)*0.1*0.01*7.85*0.001/(V$16*V$17)))</f>
        <v>0</v>
      </c>
      <c r="W248" s="128">
        <f t="shared" si="223"/>
        <v>0</v>
      </c>
      <c r="X248" t="str">
        <f t="shared" si="224"/>
        <v>205,54</v>
      </c>
      <c r="Y248" s="151">
        <f t="shared" si="225"/>
        <v>0.1029453312290347</v>
      </c>
      <c r="Z248" s="151">
        <f t="shared" si="226"/>
        <v>0.995848419554393</v>
      </c>
    </row>
    <row r="249" spans="1:26" ht="12.75">
      <c r="A249" s="141">
        <f>+'SMAW-SMAW'!A249</f>
        <v>232</v>
      </c>
      <c r="B249" s="142">
        <v>20</v>
      </c>
      <c r="C249" s="143">
        <f t="shared" si="207"/>
        <v>508</v>
      </c>
      <c r="D249" s="143">
        <v>6.35</v>
      </c>
      <c r="E249" s="144" t="s">
        <v>97</v>
      </c>
      <c r="F249" s="145">
        <f t="shared" si="255"/>
        <v>2</v>
      </c>
      <c r="G249" s="145">
        <f t="shared" si="222"/>
        <v>2</v>
      </c>
      <c r="H249" s="145">
        <f t="shared" si="256"/>
        <v>2</v>
      </c>
      <c r="I249" s="146">
        <f t="shared" si="257"/>
        <v>3.337872397708477</v>
      </c>
      <c r="J249" s="147"/>
      <c r="K249" s="145">
        <f t="shared" si="258"/>
        <v>0</v>
      </c>
      <c r="L249" s="145">
        <f t="shared" si="259"/>
        <v>6</v>
      </c>
      <c r="M249" s="145">
        <f t="shared" si="260"/>
        <v>8.7</v>
      </c>
      <c r="N249" s="145">
        <f t="shared" si="261"/>
        <v>14.519744930031875</v>
      </c>
      <c r="O249" s="145">
        <f t="shared" si="262"/>
        <v>0</v>
      </c>
      <c r="P249" s="145">
        <f t="shared" si="263"/>
        <v>27.351489590833907</v>
      </c>
      <c r="Q249" s="147">
        <f t="shared" si="264"/>
        <v>50.57123452086578</v>
      </c>
      <c r="R249" s="147"/>
      <c r="S249" s="128">
        <f t="shared" si="265"/>
        <v>0.10261240094757051</v>
      </c>
      <c r="T249" s="128">
        <f t="shared" si="266"/>
        <v>1.2107670550628908</v>
      </c>
      <c r="U249" s="145">
        <f t="shared" si="267"/>
        <v>0</v>
      </c>
      <c r="V249" s="145">
        <f t="shared" si="268"/>
        <v>0</v>
      </c>
      <c r="W249" s="128">
        <f t="shared" si="223"/>
        <v>0</v>
      </c>
      <c r="X249" t="str">
        <f t="shared" si="224"/>
        <v>206,35</v>
      </c>
      <c r="Y249" s="151">
        <f t="shared" si="225"/>
        <v>0.10261240094757051</v>
      </c>
      <c r="Z249" s="151">
        <f t="shared" si="226"/>
        <v>1.2107670550628908</v>
      </c>
    </row>
    <row r="250" spans="1:26" ht="12.75">
      <c r="A250" s="141">
        <f>+'SMAW-SMAW'!A250</f>
        <v>233</v>
      </c>
      <c r="B250" s="142">
        <v>20</v>
      </c>
      <c r="C250" s="143">
        <f t="shared" si="207"/>
        <v>508</v>
      </c>
      <c r="D250" s="143">
        <v>9.52</v>
      </c>
      <c r="E250" s="144" t="s">
        <v>92</v>
      </c>
      <c r="F250" s="145">
        <f t="shared" si="255"/>
        <v>2</v>
      </c>
      <c r="G250" s="145">
        <f t="shared" si="222"/>
        <v>2</v>
      </c>
      <c r="H250" s="145">
        <f t="shared" si="256"/>
        <v>2</v>
      </c>
      <c r="I250" s="146">
        <f t="shared" si="257"/>
        <v>5.770298949601782</v>
      </c>
      <c r="J250" s="147"/>
      <c r="K250" s="145">
        <f t="shared" si="258"/>
        <v>0</v>
      </c>
      <c r="L250" s="145">
        <f t="shared" si="259"/>
        <v>6</v>
      </c>
      <c r="M250" s="145">
        <f t="shared" si="260"/>
        <v>15.04</v>
      </c>
      <c r="N250" s="145">
        <f t="shared" si="261"/>
        <v>43.39264810100539</v>
      </c>
      <c r="O250" s="145">
        <f t="shared" si="262"/>
        <v>0</v>
      </c>
      <c r="P250" s="145">
        <f t="shared" si="263"/>
        <v>37.08119579840712</v>
      </c>
      <c r="Q250" s="147">
        <f t="shared" si="264"/>
        <v>95.5138438994125</v>
      </c>
      <c r="R250" s="147"/>
      <c r="S250" s="128">
        <f t="shared" si="265"/>
        <v>0.10130945157443293</v>
      </c>
      <c r="T250" s="128">
        <f t="shared" si="266"/>
        <v>2.279594827293722</v>
      </c>
      <c r="U250" s="145">
        <f t="shared" si="267"/>
        <v>0</v>
      </c>
      <c r="V250" s="145">
        <f t="shared" si="268"/>
        <v>0</v>
      </c>
      <c r="W250" s="128">
        <f t="shared" si="223"/>
        <v>0</v>
      </c>
      <c r="X250" t="str">
        <f t="shared" si="224"/>
        <v>209,52</v>
      </c>
      <c r="Y250" s="151">
        <f t="shared" si="225"/>
        <v>0.10130945157443293</v>
      </c>
      <c r="Z250" s="151">
        <f t="shared" si="226"/>
        <v>2.279594827293722</v>
      </c>
    </row>
    <row r="251" spans="1:26" ht="12.75">
      <c r="A251" s="141">
        <f>+'SMAW-SMAW'!A251</f>
        <v>234</v>
      </c>
      <c r="B251" s="142">
        <v>20</v>
      </c>
      <c r="C251" s="143">
        <f t="shared" si="207"/>
        <v>508</v>
      </c>
      <c r="D251" s="143">
        <v>9.52</v>
      </c>
      <c r="E251" s="144" t="s">
        <v>86</v>
      </c>
      <c r="F251" s="145">
        <f t="shared" si="255"/>
        <v>2</v>
      </c>
      <c r="G251" s="145">
        <f t="shared" si="222"/>
        <v>2</v>
      </c>
      <c r="H251" s="145">
        <f t="shared" si="256"/>
        <v>2</v>
      </c>
      <c r="I251" s="146">
        <f t="shared" si="257"/>
        <v>5.770298949601782</v>
      </c>
      <c r="J251" s="147"/>
      <c r="K251" s="145">
        <f t="shared" si="258"/>
        <v>0</v>
      </c>
      <c r="L251" s="145">
        <f t="shared" si="259"/>
        <v>6</v>
      </c>
      <c r="M251" s="145">
        <f t="shared" si="260"/>
        <v>15.04</v>
      </c>
      <c r="N251" s="145">
        <f t="shared" si="261"/>
        <v>43.39264810100539</v>
      </c>
      <c r="O251" s="145">
        <f t="shared" si="262"/>
        <v>0</v>
      </c>
      <c r="P251" s="145">
        <f t="shared" si="263"/>
        <v>37.08119579840712</v>
      </c>
      <c r="Q251" s="147">
        <f t="shared" si="264"/>
        <v>95.5138438994125</v>
      </c>
      <c r="R251" s="147"/>
      <c r="S251" s="128">
        <f t="shared" si="265"/>
        <v>0.10130945157443293</v>
      </c>
      <c r="T251" s="128">
        <f t="shared" si="266"/>
        <v>2.279594827293722</v>
      </c>
      <c r="U251" s="145">
        <f t="shared" si="267"/>
        <v>0</v>
      </c>
      <c r="V251" s="145">
        <f t="shared" si="268"/>
        <v>0</v>
      </c>
      <c r="W251" s="128">
        <f t="shared" si="223"/>
        <v>0</v>
      </c>
      <c r="X251" t="str">
        <f t="shared" si="224"/>
        <v>209,52</v>
      </c>
      <c r="Y251" s="151">
        <f t="shared" si="225"/>
        <v>0.10130945157443293</v>
      </c>
      <c r="Z251" s="151">
        <f t="shared" si="226"/>
        <v>2.279594827293722</v>
      </c>
    </row>
    <row r="252" spans="1:26" ht="12.75">
      <c r="A252" s="141">
        <f>+'SMAW-SMAW'!A252</f>
        <v>235</v>
      </c>
      <c r="B252" s="142">
        <v>20</v>
      </c>
      <c r="C252" s="143">
        <f t="shared" si="207"/>
        <v>508</v>
      </c>
      <c r="D252" s="143">
        <v>12.7</v>
      </c>
      <c r="E252" s="144" t="s">
        <v>93</v>
      </c>
      <c r="F252" s="145">
        <f t="shared" si="255"/>
        <v>2</v>
      </c>
      <c r="G252" s="145">
        <f t="shared" si="222"/>
        <v>2</v>
      </c>
      <c r="H252" s="145">
        <f t="shared" si="256"/>
        <v>2</v>
      </c>
      <c r="I252" s="146">
        <f t="shared" si="257"/>
        <v>8.210398771374875</v>
      </c>
      <c r="J252" s="147"/>
      <c r="K252" s="145">
        <f t="shared" si="258"/>
        <v>0</v>
      </c>
      <c r="L252" s="145">
        <f t="shared" si="259"/>
        <v>6</v>
      </c>
      <c r="M252" s="145">
        <f t="shared" si="260"/>
        <v>21.4</v>
      </c>
      <c r="N252" s="145">
        <f t="shared" si="261"/>
        <v>87.85126685371115</v>
      </c>
      <c r="O252" s="145">
        <f t="shared" si="262"/>
        <v>0</v>
      </c>
      <c r="P252" s="145">
        <f t="shared" si="263"/>
        <v>46.8415950854995</v>
      </c>
      <c r="Q252" s="147">
        <f t="shared" si="264"/>
        <v>156.09286193921065</v>
      </c>
      <c r="R252" s="147"/>
      <c r="S252" s="128">
        <f t="shared" si="265"/>
        <v>0.1000023919509069</v>
      </c>
      <c r="T252" s="128">
        <f t="shared" si="266"/>
        <v>3.713642093553307</v>
      </c>
      <c r="U252" s="145">
        <f t="shared" si="267"/>
        <v>0</v>
      </c>
      <c r="V252" s="145">
        <f t="shared" si="268"/>
        <v>0</v>
      </c>
      <c r="W252" s="128">
        <f t="shared" si="223"/>
        <v>0</v>
      </c>
      <c r="X252" t="str">
        <f t="shared" si="224"/>
        <v>2012,7</v>
      </c>
      <c r="Y252" s="151">
        <f t="shared" si="225"/>
        <v>0.1000023919509069</v>
      </c>
      <c r="Z252" s="151">
        <f t="shared" si="226"/>
        <v>3.713642093553307</v>
      </c>
    </row>
    <row r="253" spans="1:26" ht="12.75">
      <c r="A253" s="141">
        <f>+'SMAW-SMAW'!A253</f>
        <v>236</v>
      </c>
      <c r="B253" s="142">
        <v>20</v>
      </c>
      <c r="C253" s="143">
        <f t="shared" si="207"/>
        <v>508</v>
      </c>
      <c r="D253" s="143">
        <v>12.7</v>
      </c>
      <c r="E253" s="144" t="s">
        <v>82</v>
      </c>
      <c r="F253" s="145">
        <f t="shared" si="255"/>
        <v>2</v>
      </c>
      <c r="G253" s="145">
        <f t="shared" si="222"/>
        <v>2</v>
      </c>
      <c r="H253" s="145">
        <f t="shared" si="256"/>
        <v>2</v>
      </c>
      <c r="I253" s="146">
        <f t="shared" si="257"/>
        <v>8.210398771374875</v>
      </c>
      <c r="J253" s="147"/>
      <c r="K253" s="145">
        <f t="shared" si="258"/>
        <v>0</v>
      </c>
      <c r="L253" s="145">
        <f t="shared" si="259"/>
        <v>6</v>
      </c>
      <c r="M253" s="145">
        <f t="shared" si="260"/>
        <v>21.4</v>
      </c>
      <c r="N253" s="145">
        <f t="shared" si="261"/>
        <v>87.85126685371115</v>
      </c>
      <c r="O253" s="145">
        <f t="shared" si="262"/>
        <v>0</v>
      </c>
      <c r="P253" s="145">
        <f t="shared" si="263"/>
        <v>46.8415950854995</v>
      </c>
      <c r="Q253" s="147">
        <f t="shared" si="264"/>
        <v>156.09286193921065</v>
      </c>
      <c r="R253" s="147"/>
      <c r="S253" s="128">
        <f t="shared" si="265"/>
        <v>0.1000023919509069</v>
      </c>
      <c r="T253" s="128">
        <f t="shared" si="266"/>
        <v>3.713642093553307</v>
      </c>
      <c r="U253" s="145">
        <f t="shared" si="267"/>
        <v>0</v>
      </c>
      <c r="V253" s="145">
        <f t="shared" si="268"/>
        <v>0</v>
      </c>
      <c r="W253" s="128">
        <f t="shared" si="223"/>
        <v>0</v>
      </c>
      <c r="X253" t="str">
        <f t="shared" si="224"/>
        <v>2012,7</v>
      </c>
      <c r="Y253" s="151">
        <f t="shared" si="225"/>
        <v>0.1000023919509069</v>
      </c>
      <c r="Z253" s="151">
        <f t="shared" si="226"/>
        <v>3.713642093553307</v>
      </c>
    </row>
    <row r="254" spans="1:26" ht="12.75">
      <c r="A254" s="141">
        <f>+'SMAW-SMAW'!A254</f>
        <v>237</v>
      </c>
      <c r="B254" s="142">
        <v>20</v>
      </c>
      <c r="C254" s="143">
        <f t="shared" si="207"/>
        <v>508</v>
      </c>
      <c r="D254" s="143">
        <v>15.09</v>
      </c>
      <c r="E254" s="144" t="s">
        <v>87</v>
      </c>
      <c r="F254" s="145">
        <f t="shared" si="255"/>
        <v>2</v>
      </c>
      <c r="G254" s="145">
        <f t="shared" si="222"/>
        <v>2</v>
      </c>
      <c r="H254" s="145">
        <f t="shared" si="256"/>
        <v>2</v>
      </c>
      <c r="I254" s="146">
        <f t="shared" si="257"/>
        <v>10.04431027264459</v>
      </c>
      <c r="J254" s="147"/>
      <c r="K254" s="145">
        <f t="shared" si="258"/>
        <v>0</v>
      </c>
      <c r="L254" s="145">
        <f t="shared" si="259"/>
        <v>6</v>
      </c>
      <c r="M254" s="145">
        <f t="shared" si="260"/>
        <v>26.18</v>
      </c>
      <c r="N254" s="145">
        <f t="shared" si="261"/>
        <v>131.4800214689177</v>
      </c>
      <c r="O254" s="145">
        <f t="shared" si="262"/>
        <v>0</v>
      </c>
      <c r="P254" s="145">
        <f t="shared" si="263"/>
        <v>54.17724109057836</v>
      </c>
      <c r="Q254" s="147">
        <f t="shared" si="264"/>
        <v>211.83726255949608</v>
      </c>
      <c r="R254" s="147"/>
      <c r="S254" s="128">
        <f t="shared" si="265"/>
        <v>0.09902004210806815</v>
      </c>
      <c r="T254" s="128">
        <f t="shared" si="266"/>
        <v>5.027864605016541</v>
      </c>
      <c r="U254" s="145">
        <f t="shared" si="267"/>
        <v>0</v>
      </c>
      <c r="V254" s="145">
        <f t="shared" si="268"/>
        <v>0</v>
      </c>
      <c r="W254" s="128">
        <f t="shared" si="223"/>
        <v>0</v>
      </c>
      <c r="X254" t="str">
        <f t="shared" si="224"/>
        <v>2015,09</v>
      </c>
      <c r="Y254" s="151">
        <f t="shared" si="225"/>
        <v>0.09902004210806815</v>
      </c>
      <c r="Z254" s="151">
        <f t="shared" si="226"/>
        <v>5.027864605016541</v>
      </c>
    </row>
    <row r="255" spans="1:26" ht="12.75">
      <c r="A255" s="141">
        <f>+'SMAW-SMAW'!A255</f>
        <v>238</v>
      </c>
      <c r="B255" s="142">
        <v>20</v>
      </c>
      <c r="C255" s="143">
        <f t="shared" si="207"/>
        <v>508</v>
      </c>
      <c r="D255" s="143">
        <v>20.62</v>
      </c>
      <c r="E255" s="144" t="s">
        <v>94</v>
      </c>
      <c r="F255" s="145">
        <f t="shared" si="255"/>
        <v>2</v>
      </c>
      <c r="G255" s="145">
        <f t="shared" si="222"/>
        <v>2</v>
      </c>
      <c r="H255" s="145">
        <f t="shared" si="256"/>
        <v>3</v>
      </c>
      <c r="I255" s="146">
        <f t="shared" si="257"/>
        <v>13.044558795642326</v>
      </c>
      <c r="J255" s="147"/>
      <c r="K255" s="145">
        <f t="shared" si="258"/>
        <v>0.28564970874771345</v>
      </c>
      <c r="L255" s="145">
        <f t="shared" si="259"/>
        <v>6</v>
      </c>
      <c r="M255" s="145">
        <f t="shared" si="260"/>
        <v>37.24</v>
      </c>
      <c r="N255" s="145">
        <f t="shared" si="261"/>
        <v>221.75749952591954</v>
      </c>
      <c r="O255" s="145">
        <f t="shared" si="262"/>
        <v>42.72712302605245</v>
      </c>
      <c r="P255" s="145">
        <f t="shared" si="263"/>
        <v>100.98125102634023</v>
      </c>
      <c r="Q255" s="147">
        <f t="shared" si="264"/>
        <v>402.7058735783122</v>
      </c>
      <c r="R255" s="147"/>
      <c r="S255" s="128">
        <f t="shared" si="265"/>
        <v>0.09674707364325714</v>
      </c>
      <c r="T255" s="128">
        <f t="shared" si="266"/>
        <v>9.50523950647116</v>
      </c>
      <c r="U255" s="145">
        <f t="shared" si="267"/>
        <v>0</v>
      </c>
      <c r="V255" s="145">
        <f t="shared" si="268"/>
        <v>0</v>
      </c>
      <c r="W255" s="128">
        <f t="shared" si="223"/>
        <v>0</v>
      </c>
      <c r="X255" t="str">
        <f t="shared" si="224"/>
        <v>2020,62</v>
      </c>
      <c r="Y255" s="151">
        <f t="shared" si="225"/>
        <v>0.09674707364325714</v>
      </c>
      <c r="Z255" s="151">
        <f t="shared" si="226"/>
        <v>9.50523950647116</v>
      </c>
    </row>
    <row r="256" spans="1:26" ht="12.75">
      <c r="A256" s="141">
        <f>+'SMAW-SMAW'!A256</f>
        <v>239</v>
      </c>
      <c r="B256" s="142">
        <v>20</v>
      </c>
      <c r="C256" s="143">
        <f t="shared" si="207"/>
        <v>508</v>
      </c>
      <c r="D256" s="143">
        <v>26.19</v>
      </c>
      <c r="E256" s="144" t="s">
        <v>89</v>
      </c>
      <c r="F256" s="145">
        <f t="shared" si="255"/>
        <v>2</v>
      </c>
      <c r="G256" s="145">
        <f t="shared" si="222"/>
        <v>2</v>
      </c>
      <c r="H256" s="145">
        <f t="shared" si="256"/>
        <v>3</v>
      </c>
      <c r="I256" s="146">
        <f t="shared" si="257"/>
        <v>13.044558795642326</v>
      </c>
      <c r="J256" s="147"/>
      <c r="K256" s="145">
        <f t="shared" si="258"/>
        <v>1.2677909912938634</v>
      </c>
      <c r="L256" s="145">
        <f t="shared" si="259"/>
        <v>6</v>
      </c>
      <c r="M256" s="145">
        <f t="shared" si="260"/>
        <v>48.38</v>
      </c>
      <c r="N256" s="145">
        <f t="shared" si="261"/>
        <v>221.75749952591954</v>
      </c>
      <c r="O256" s="145">
        <f t="shared" si="262"/>
        <v>196.69617270873954</v>
      </c>
      <c r="P256" s="145">
        <f t="shared" si="263"/>
        <v>106.87409872161713</v>
      </c>
      <c r="Q256" s="147">
        <f t="shared" si="264"/>
        <v>573.7077709562762</v>
      </c>
      <c r="R256" s="147"/>
      <c r="S256" s="128">
        <f t="shared" si="265"/>
        <v>0.09445766417689237</v>
      </c>
      <c r="T256" s="128">
        <f t="shared" si="266"/>
        <v>13.465694577991231</v>
      </c>
      <c r="U256" s="145">
        <f t="shared" si="267"/>
        <v>0</v>
      </c>
      <c r="V256" s="145">
        <f t="shared" si="268"/>
        <v>0</v>
      </c>
      <c r="W256" s="128">
        <f t="shared" si="223"/>
        <v>0</v>
      </c>
      <c r="X256" t="str">
        <f t="shared" si="224"/>
        <v>2026,19</v>
      </c>
      <c r="Y256" s="151">
        <f t="shared" si="225"/>
        <v>0.09445766417689237</v>
      </c>
      <c r="Z256" s="151">
        <f t="shared" si="226"/>
        <v>13.465694577991231</v>
      </c>
    </row>
    <row r="257" spans="1:26" ht="12.75">
      <c r="A257" s="141">
        <f>+'SMAW-SMAW'!A257</f>
        <v>240</v>
      </c>
      <c r="B257" s="142">
        <v>20</v>
      </c>
      <c r="C257" s="143">
        <f t="shared" si="207"/>
        <v>508</v>
      </c>
      <c r="D257" s="143">
        <v>32.54</v>
      </c>
      <c r="E257" s="144" t="s">
        <v>95</v>
      </c>
      <c r="F257" s="145">
        <f t="shared" si="255"/>
        <v>2</v>
      </c>
      <c r="G257" s="145">
        <f t="shared" si="222"/>
        <v>2</v>
      </c>
      <c r="H257" s="145">
        <f t="shared" si="256"/>
        <v>3</v>
      </c>
      <c r="I257" s="146">
        <f t="shared" si="257"/>
        <v>13.044558795642326</v>
      </c>
      <c r="J257" s="147"/>
      <c r="K257" s="145">
        <f t="shared" si="258"/>
        <v>2.3874673187926154</v>
      </c>
      <c r="L257" s="145">
        <f t="shared" si="259"/>
        <v>6</v>
      </c>
      <c r="M257" s="145">
        <f t="shared" si="260"/>
        <v>61.08</v>
      </c>
      <c r="N257" s="145">
        <f t="shared" si="261"/>
        <v>221.75749952591954</v>
      </c>
      <c r="O257" s="145">
        <f t="shared" si="262"/>
        <v>385.57295968244614</v>
      </c>
      <c r="P257" s="145">
        <f t="shared" si="263"/>
        <v>113.59215668660964</v>
      </c>
      <c r="Q257" s="147">
        <f t="shared" si="264"/>
        <v>782.0026158949753</v>
      </c>
      <c r="R257" s="147"/>
      <c r="S257" s="128">
        <f t="shared" si="265"/>
        <v>0.09184765518022875</v>
      </c>
      <c r="T257" s="128">
        <f t="shared" si="266"/>
        <v>18.236903356826154</v>
      </c>
      <c r="U257" s="145">
        <f t="shared" si="267"/>
        <v>0</v>
      </c>
      <c r="V257" s="145">
        <f t="shared" si="268"/>
        <v>0</v>
      </c>
      <c r="W257" s="128">
        <f t="shared" si="223"/>
        <v>0</v>
      </c>
      <c r="X257" t="str">
        <f t="shared" si="224"/>
        <v>2032,54</v>
      </c>
      <c r="Y257" s="151">
        <f t="shared" si="225"/>
        <v>0.09184765518022875</v>
      </c>
      <c r="Z257" s="151">
        <f t="shared" si="226"/>
        <v>18.236903356826154</v>
      </c>
    </row>
    <row r="258" spans="1:26" ht="12.75">
      <c r="A258" s="141">
        <f>+'SMAW-SMAW'!A258</f>
        <v>241</v>
      </c>
      <c r="B258" s="142">
        <v>20</v>
      </c>
      <c r="C258" s="143">
        <f t="shared" si="207"/>
        <v>508</v>
      </c>
      <c r="D258" s="143">
        <v>38.1</v>
      </c>
      <c r="E258" s="144" t="s">
        <v>91</v>
      </c>
      <c r="F258" s="145">
        <f t="shared" si="255"/>
        <v>2</v>
      </c>
      <c r="G258" s="145">
        <f t="shared" si="222"/>
        <v>2</v>
      </c>
      <c r="H258" s="145">
        <f t="shared" si="256"/>
        <v>3</v>
      </c>
      <c r="I258" s="146">
        <f t="shared" si="257"/>
        <v>13.044558795642326</v>
      </c>
      <c r="J258" s="147"/>
      <c r="K258" s="145">
        <f t="shared" si="258"/>
        <v>3.367845331531681</v>
      </c>
      <c r="L258" s="145">
        <f t="shared" si="259"/>
        <v>6</v>
      </c>
      <c r="M258" s="145">
        <f t="shared" si="260"/>
        <v>72.2</v>
      </c>
      <c r="N258" s="145">
        <f t="shared" si="261"/>
        <v>221.75749952591954</v>
      </c>
      <c r="O258" s="145">
        <f t="shared" si="262"/>
        <v>562.627991825792</v>
      </c>
      <c r="P258" s="145">
        <f t="shared" si="263"/>
        <v>119.47442476304404</v>
      </c>
      <c r="Q258" s="147">
        <f t="shared" si="264"/>
        <v>976.0599161147557</v>
      </c>
      <c r="R258" s="147"/>
      <c r="S258" s="128">
        <f t="shared" si="265"/>
        <v>0.08956235596425238</v>
      </c>
      <c r="T258" s="128">
        <f t="shared" si="266"/>
        <v>22.633781250040762</v>
      </c>
      <c r="U258" s="145">
        <f t="shared" si="267"/>
        <v>0</v>
      </c>
      <c r="V258" s="145">
        <f t="shared" si="268"/>
        <v>0</v>
      </c>
      <c r="W258" s="128">
        <f t="shared" si="223"/>
        <v>0</v>
      </c>
      <c r="X258" t="str">
        <f t="shared" si="224"/>
        <v>2038,1</v>
      </c>
      <c r="Y258" s="151">
        <f t="shared" si="225"/>
        <v>0.08956235596425238</v>
      </c>
      <c r="Z258" s="151">
        <f t="shared" si="226"/>
        <v>22.633781250040762</v>
      </c>
    </row>
    <row r="259" spans="1:26" ht="12.75">
      <c r="A259" s="141">
        <f>+'SMAW-SMAW'!A259</f>
        <v>242</v>
      </c>
      <c r="B259" s="142">
        <v>20</v>
      </c>
      <c r="C259" s="143">
        <f t="shared" si="207"/>
        <v>508</v>
      </c>
      <c r="D259" s="143">
        <v>44.45</v>
      </c>
      <c r="E259" s="144" t="s">
        <v>96</v>
      </c>
      <c r="F259" s="145">
        <f t="shared" si="255"/>
        <v>2</v>
      </c>
      <c r="G259" s="145">
        <f t="shared" si="222"/>
        <v>2</v>
      </c>
      <c r="H259" s="145">
        <f t="shared" si="256"/>
        <v>3</v>
      </c>
      <c r="I259" s="146">
        <f t="shared" si="257"/>
        <v>13.044558795642326</v>
      </c>
      <c r="J259" s="147"/>
      <c r="K259" s="145">
        <f t="shared" si="258"/>
        <v>4.487521659030434</v>
      </c>
      <c r="L259" s="145">
        <f t="shared" si="259"/>
        <v>6</v>
      </c>
      <c r="M259" s="145">
        <f t="shared" si="260"/>
        <v>84.9</v>
      </c>
      <c r="N259" s="145">
        <f t="shared" si="261"/>
        <v>221.75749952591954</v>
      </c>
      <c r="O259" s="145">
        <f t="shared" si="262"/>
        <v>778.175468920519</v>
      </c>
      <c r="P259" s="145">
        <f t="shared" si="263"/>
        <v>126.19248272803655</v>
      </c>
      <c r="Q259" s="147">
        <f t="shared" si="264"/>
        <v>1211.0254511744752</v>
      </c>
      <c r="R259" s="147"/>
      <c r="S259" s="128">
        <f t="shared" si="265"/>
        <v>0.08695234696758881</v>
      </c>
      <c r="T259" s="128">
        <f t="shared" si="266"/>
        <v>27.900026560463193</v>
      </c>
      <c r="U259" s="145">
        <f t="shared" si="267"/>
        <v>0</v>
      </c>
      <c r="V259" s="145">
        <f t="shared" si="268"/>
        <v>0</v>
      </c>
      <c r="W259" s="128">
        <f t="shared" si="223"/>
        <v>0</v>
      </c>
      <c r="X259" t="str">
        <f t="shared" si="224"/>
        <v>2044,45</v>
      </c>
      <c r="Y259" s="151">
        <f t="shared" si="225"/>
        <v>0.08695234696758881</v>
      </c>
      <c r="Z259" s="151">
        <f t="shared" si="226"/>
        <v>27.900026560463193</v>
      </c>
    </row>
    <row r="260" spans="1:26" ht="12.75">
      <c r="A260" s="141">
        <f>+'SMAW-SMAW'!A260</f>
        <v>243</v>
      </c>
      <c r="B260" s="142">
        <v>20</v>
      </c>
      <c r="C260" s="143">
        <f t="shared" si="207"/>
        <v>508</v>
      </c>
      <c r="D260" s="143">
        <v>50.01</v>
      </c>
      <c r="E260" s="144" t="s">
        <v>90</v>
      </c>
      <c r="F260" s="145">
        <f t="shared" si="255"/>
        <v>2</v>
      </c>
      <c r="G260" s="145">
        <f t="shared" si="222"/>
        <v>2</v>
      </c>
      <c r="H260" s="145">
        <f t="shared" si="256"/>
        <v>3</v>
      </c>
      <c r="I260" s="146">
        <f t="shared" si="257"/>
        <v>13.044558795642326</v>
      </c>
      <c r="J260" s="147"/>
      <c r="K260" s="145">
        <f t="shared" si="258"/>
        <v>5.467899671769499</v>
      </c>
      <c r="L260" s="145">
        <f t="shared" si="259"/>
        <v>6</v>
      </c>
      <c r="M260" s="145">
        <f t="shared" si="260"/>
        <v>96.02</v>
      </c>
      <c r="N260" s="145">
        <f t="shared" si="261"/>
        <v>221.75749952591954</v>
      </c>
      <c r="O260" s="145">
        <f t="shared" si="262"/>
        <v>978.5831053273091</v>
      </c>
      <c r="P260" s="145">
        <f t="shared" si="263"/>
        <v>132.07475080447097</v>
      </c>
      <c r="Q260" s="147">
        <f t="shared" si="264"/>
        <v>1428.4353556576998</v>
      </c>
      <c r="R260" s="147"/>
      <c r="S260" s="128">
        <f t="shared" si="265"/>
        <v>0.08466704775161248</v>
      </c>
      <c r="T260" s="128">
        <f t="shared" si="266"/>
        <v>32.72046084246628</v>
      </c>
      <c r="U260" s="145">
        <f t="shared" si="267"/>
        <v>0</v>
      </c>
      <c r="V260" s="145">
        <f t="shared" si="268"/>
        <v>0</v>
      </c>
      <c r="W260" s="128">
        <f t="shared" si="223"/>
        <v>0</v>
      </c>
      <c r="X260" t="str">
        <f t="shared" si="224"/>
        <v>2050,01</v>
      </c>
      <c r="Y260" s="151">
        <f t="shared" si="225"/>
        <v>0.08466704775161248</v>
      </c>
      <c r="Z260" s="151">
        <f t="shared" si="226"/>
        <v>32.72046084246628</v>
      </c>
    </row>
    <row r="261" spans="1:26" ht="12.75">
      <c r="A261" s="141">
        <f>+'SMAW-SMAW'!A261</f>
        <v>244</v>
      </c>
      <c r="B261" s="142"/>
      <c r="C261" s="143"/>
      <c r="D261" s="143"/>
      <c r="E261" s="144"/>
      <c r="F261" s="145"/>
      <c r="G261" s="145">
        <f aca="true" t="shared" si="269" ref="G261:G300">IF(D261&lt;2,D261,2)</f>
        <v>0</v>
      </c>
      <c r="H261" s="145"/>
      <c r="I261" s="146"/>
      <c r="J261" s="147"/>
      <c r="K261" s="145"/>
      <c r="L261" s="145"/>
      <c r="M261" s="145"/>
      <c r="N261" s="145"/>
      <c r="O261" s="145"/>
      <c r="P261" s="145"/>
      <c r="Q261" s="147"/>
      <c r="R261" s="147"/>
      <c r="S261" s="128"/>
      <c r="T261" s="128"/>
      <c r="U261" s="145"/>
      <c r="V261" s="145"/>
      <c r="W261" s="128">
        <f t="shared" si="223"/>
        <v>0</v>
      </c>
      <c r="X261">
        <f t="shared" si="224"/>
      </c>
      <c r="Y261" s="151">
        <f t="shared" si="225"/>
        <v>0</v>
      </c>
      <c r="Z261" s="151">
        <f t="shared" si="226"/>
        <v>0</v>
      </c>
    </row>
    <row r="262" spans="1:26" ht="12.75">
      <c r="A262" s="141">
        <f>+'SMAW-SMAW'!A262</f>
        <v>245</v>
      </c>
      <c r="B262" s="142">
        <v>22</v>
      </c>
      <c r="C262" s="143">
        <f t="shared" si="207"/>
        <v>558.8</v>
      </c>
      <c r="D262" s="143">
        <v>4.78</v>
      </c>
      <c r="E262" s="144" t="s">
        <v>81</v>
      </c>
      <c r="F262" s="145">
        <f t="shared" si="0"/>
        <v>2</v>
      </c>
      <c r="G262" s="145">
        <f t="shared" si="269"/>
        <v>2</v>
      </c>
      <c r="H262" s="145">
        <f>IF(D262&lt;=19,2,3)</f>
        <v>2</v>
      </c>
      <c r="I262" s="146">
        <f>IF(D262&lt;=19,(D262-G262)*TAN($C$8*PI()/180),(19-G262)*TAN($C$8*PI()/180))</f>
        <v>2.13316902658151</v>
      </c>
      <c r="J262" s="147"/>
      <c r="K262" s="145">
        <f>IF(D262&lt;=19,0,(D262-19)*TAN($C$10*PI()/180))</f>
        <v>0</v>
      </c>
      <c r="L262" s="145">
        <f>+F262*(G262*1.5)</f>
        <v>6</v>
      </c>
      <c r="M262" s="145">
        <f>+F262*(D262-G262)</f>
        <v>5.5600000000000005</v>
      </c>
      <c r="N262" s="145">
        <f>IF(D262&lt;=19,(D262-G262)*I262,(19-G262)*I262)</f>
        <v>5.930209893896598</v>
      </c>
      <c r="O262" s="145">
        <f>IF(D262&lt;=19,0,(I262*(D262-19)*2)+((K262)*(D262-19)))</f>
        <v>0</v>
      </c>
      <c r="P262" s="145">
        <f>+(5+F262+(2*(I262+K262)))*H262</f>
        <v>22.53267610632604</v>
      </c>
      <c r="Q262" s="147">
        <f>SUM(M262:P262)</f>
        <v>34.02288600022264</v>
      </c>
      <c r="R262" s="147"/>
      <c r="S262" s="128">
        <f>IF(D$6=1,(PI()*(C262-(2*D262)+(2*G262))*L262*0.1*0.01*7.85*0.001/(S$16*S$17)),0)</f>
        <v>0.11369774624521112</v>
      </c>
      <c r="T262" s="128">
        <f>IF(D$6=1,(PI()*(C262-(0.5*D262))*(Q262)*0.1*0.01*7.85*0.001/(T$16*T$17)),0)</f>
        <v>0.8978055018406662</v>
      </c>
      <c r="U262" s="145">
        <f>IF(D$6=1,0,(PI()*(C262-(2*D262)+(2*G262))*L262*0.1*0.01*7.85*0.001/(U$16*U$17)))</f>
        <v>0</v>
      </c>
      <c r="V262" s="145">
        <f>IF(D$6=1,0,(PI()*(C262-(0.5*D262))*(Q262)*0.1*0.01*7.85*0.001/(V$16*V$17)))</f>
        <v>0</v>
      </c>
      <c r="W262" s="128">
        <f t="shared" si="223"/>
        <v>0</v>
      </c>
      <c r="X262" t="str">
        <f t="shared" si="224"/>
        <v>224,78</v>
      </c>
      <c r="Y262" s="151">
        <f t="shared" si="225"/>
        <v>0.11369774624521112</v>
      </c>
      <c r="Z262" s="151">
        <f t="shared" si="226"/>
        <v>0.8978055018406662</v>
      </c>
    </row>
    <row r="263" spans="1:26" ht="12.75">
      <c r="A263" s="141">
        <f>+'SMAW-SMAW'!A263</f>
        <v>246</v>
      </c>
      <c r="B263" s="142">
        <v>22</v>
      </c>
      <c r="C263" s="143">
        <f t="shared" si="207"/>
        <v>558.8</v>
      </c>
      <c r="D263" s="143">
        <v>5.54</v>
      </c>
      <c r="E263" s="144" t="s">
        <v>84</v>
      </c>
      <c r="F263" s="145">
        <f aca="true" t="shared" si="270" ref="F263:F275">IF($D$6=1,2,3)</f>
        <v>2</v>
      </c>
      <c r="G263" s="145">
        <f t="shared" si="269"/>
        <v>2</v>
      </c>
      <c r="H263" s="145">
        <f aca="true" t="shared" si="271" ref="H263:H275">IF(D263&lt;=19,2,3)</f>
        <v>2</v>
      </c>
      <c r="I263" s="146">
        <f aca="true" t="shared" si="272" ref="I263:I275">IF(D263&lt;=19,(D263-G263)*TAN($C$8*PI()/180),(19-G263)*TAN($C$8*PI()/180))</f>
        <v>2.71633753744552</v>
      </c>
      <c r="J263" s="147"/>
      <c r="K263" s="145">
        <f aca="true" t="shared" si="273" ref="K263:K275">IF(D263&lt;=19,0,(D263-19)*TAN($C$10*PI()/180))</f>
        <v>0</v>
      </c>
      <c r="L263" s="145">
        <f aca="true" t="shared" si="274" ref="L263:L275">+F263*(G263*1.5)</f>
        <v>6</v>
      </c>
      <c r="M263" s="145">
        <f aca="true" t="shared" si="275" ref="M263:M275">+F263*(D263-G263)</f>
        <v>7.08</v>
      </c>
      <c r="N263" s="145">
        <f aca="true" t="shared" si="276" ref="N263:N275">IF(D263&lt;=19,(D263-G263)*I263,(19-G263)*I263)</f>
        <v>9.61583488255714</v>
      </c>
      <c r="O263" s="145">
        <f aca="true" t="shared" si="277" ref="O263:O275">IF(D263&lt;=19,0,(I263*(D263-19)*2)+((K263)*(D263-19)))</f>
        <v>0</v>
      </c>
      <c r="P263" s="145">
        <f aca="true" t="shared" si="278" ref="P263:P275">+(5+F263+(2*(I263+K263)))*H263</f>
        <v>24.86535014978208</v>
      </c>
      <c r="Q263" s="147">
        <f aca="true" t="shared" si="279" ref="Q263:Q275">SUM(M263:P263)</f>
        <v>41.561185032339225</v>
      </c>
      <c r="R263" s="147"/>
      <c r="S263" s="128">
        <f aca="true" t="shared" si="280" ref="S263:S275">IF(D$6=1,(PI()*(C263-(2*D263)+(2*G263))*L263*0.1*0.01*7.85*0.001/(S$16*S$17)),0)</f>
        <v>0.11338536721568912</v>
      </c>
      <c r="T263" s="128">
        <f aca="true" t="shared" si="281" ref="T263:T275">IF(D$6=1,(PI()*(C263-(0.5*D263))*(Q263)*0.1*0.01*7.85*0.001/(T$16*T$17)),0)</f>
        <v>1.0959792504895376</v>
      </c>
      <c r="U263" s="145">
        <f aca="true" t="shared" si="282" ref="U263:U275">IF(D$6=1,0,(PI()*(C263-(2*D263)+(2*G263))*L263*0.1*0.01*7.85*0.001/(U$16*U$17)))</f>
        <v>0</v>
      </c>
      <c r="V263" s="145">
        <f aca="true" t="shared" si="283" ref="V263:V275">IF(D$6=1,0,(PI()*(C263-(0.5*D263))*(Q263)*0.1*0.01*7.85*0.001/(V$16*V$17)))</f>
        <v>0</v>
      </c>
      <c r="W263" s="128">
        <f t="shared" si="223"/>
        <v>0</v>
      </c>
      <c r="X263" t="str">
        <f t="shared" si="224"/>
        <v>225,54</v>
      </c>
      <c r="Y263" s="151">
        <f t="shared" si="225"/>
        <v>0.11338536721568912</v>
      </c>
      <c r="Z263" s="151">
        <f t="shared" si="226"/>
        <v>1.0959792504895376</v>
      </c>
    </row>
    <row r="264" spans="1:26" ht="12.75">
      <c r="A264" s="141">
        <f>+'SMAW-SMAW'!A264</f>
        <v>247</v>
      </c>
      <c r="B264" s="142">
        <v>22</v>
      </c>
      <c r="C264" s="143">
        <f t="shared" si="207"/>
        <v>558.8</v>
      </c>
      <c r="D264" s="143">
        <v>6.35</v>
      </c>
      <c r="E264" s="144" t="s">
        <v>97</v>
      </c>
      <c r="F264" s="145">
        <f t="shared" si="270"/>
        <v>2</v>
      </c>
      <c r="G264" s="145">
        <f t="shared" si="269"/>
        <v>2</v>
      </c>
      <c r="H264" s="145">
        <f t="shared" si="271"/>
        <v>2</v>
      </c>
      <c r="I264" s="146">
        <f t="shared" si="272"/>
        <v>3.337872397708477</v>
      </c>
      <c r="J264" s="147"/>
      <c r="K264" s="145">
        <f t="shared" si="273"/>
        <v>0</v>
      </c>
      <c r="L264" s="145">
        <f t="shared" si="274"/>
        <v>6</v>
      </c>
      <c r="M264" s="145">
        <f t="shared" si="275"/>
        <v>8.7</v>
      </c>
      <c r="N264" s="145">
        <f t="shared" si="276"/>
        <v>14.519744930031875</v>
      </c>
      <c r="O264" s="145">
        <f t="shared" si="277"/>
        <v>0</v>
      </c>
      <c r="P264" s="145">
        <f t="shared" si="278"/>
        <v>27.351489590833907</v>
      </c>
      <c r="Q264" s="147">
        <f t="shared" si="279"/>
        <v>50.57123452086578</v>
      </c>
      <c r="R264" s="147"/>
      <c r="S264" s="128">
        <f t="shared" si="280"/>
        <v>0.11305243693422498</v>
      </c>
      <c r="T264" s="128">
        <f t="shared" si="281"/>
        <v>1.3326052492830558</v>
      </c>
      <c r="U264" s="145">
        <f t="shared" si="282"/>
        <v>0</v>
      </c>
      <c r="V264" s="145">
        <f t="shared" si="283"/>
        <v>0</v>
      </c>
      <c r="W264" s="128">
        <f t="shared" si="223"/>
        <v>0</v>
      </c>
      <c r="X264" t="str">
        <f t="shared" si="224"/>
        <v>226,35</v>
      </c>
      <c r="Y264" s="151">
        <f t="shared" si="225"/>
        <v>0.11305243693422498</v>
      </c>
      <c r="Z264" s="151">
        <f t="shared" si="226"/>
        <v>1.3326052492830558</v>
      </c>
    </row>
    <row r="265" spans="1:26" ht="12.75">
      <c r="A265" s="141">
        <f>+'SMAW-SMAW'!A265</f>
        <v>248</v>
      </c>
      <c r="B265" s="142">
        <v>22</v>
      </c>
      <c r="C265" s="143">
        <f t="shared" si="207"/>
        <v>558.8</v>
      </c>
      <c r="D265" s="143">
        <v>9.52</v>
      </c>
      <c r="E265" s="144" t="s">
        <v>92</v>
      </c>
      <c r="F265" s="145">
        <f t="shared" si="270"/>
        <v>2</v>
      </c>
      <c r="G265" s="145">
        <f t="shared" si="269"/>
        <v>2</v>
      </c>
      <c r="H265" s="145">
        <f t="shared" si="271"/>
        <v>2</v>
      </c>
      <c r="I265" s="146">
        <f t="shared" si="272"/>
        <v>5.770298949601782</v>
      </c>
      <c r="J265" s="147"/>
      <c r="K265" s="145">
        <f t="shared" si="273"/>
        <v>0</v>
      </c>
      <c r="L265" s="145">
        <f t="shared" si="274"/>
        <v>6</v>
      </c>
      <c r="M265" s="145">
        <f t="shared" si="275"/>
        <v>15.04</v>
      </c>
      <c r="N265" s="145">
        <f t="shared" si="276"/>
        <v>43.39264810100539</v>
      </c>
      <c r="O265" s="145">
        <f t="shared" si="277"/>
        <v>0</v>
      </c>
      <c r="P265" s="145">
        <f t="shared" si="278"/>
        <v>37.08119579840712</v>
      </c>
      <c r="Q265" s="147">
        <f t="shared" si="279"/>
        <v>95.5138438994125</v>
      </c>
      <c r="R265" s="147"/>
      <c r="S265" s="128">
        <f t="shared" si="280"/>
        <v>0.11174948756108743</v>
      </c>
      <c r="T265" s="128">
        <f t="shared" si="281"/>
        <v>2.50971051210916</v>
      </c>
      <c r="U265" s="145">
        <f t="shared" si="282"/>
        <v>0</v>
      </c>
      <c r="V265" s="145">
        <f t="shared" si="283"/>
        <v>0</v>
      </c>
      <c r="W265" s="128">
        <f t="shared" si="223"/>
        <v>0</v>
      </c>
      <c r="X265" t="str">
        <f t="shared" si="224"/>
        <v>229,52</v>
      </c>
      <c r="Y265" s="151">
        <f t="shared" si="225"/>
        <v>0.11174948756108743</v>
      </c>
      <c r="Z265" s="151">
        <f t="shared" si="226"/>
        <v>2.50971051210916</v>
      </c>
    </row>
    <row r="266" spans="1:26" ht="12.75">
      <c r="A266" s="141">
        <f>+'SMAW-SMAW'!A266</f>
        <v>249</v>
      </c>
      <c r="B266" s="142">
        <v>22</v>
      </c>
      <c r="C266" s="143">
        <f t="shared" si="207"/>
        <v>558.8</v>
      </c>
      <c r="D266" s="143">
        <v>9.52</v>
      </c>
      <c r="E266" s="144" t="s">
        <v>86</v>
      </c>
      <c r="F266" s="145">
        <f t="shared" si="270"/>
        <v>2</v>
      </c>
      <c r="G266" s="145">
        <f t="shared" si="269"/>
        <v>2</v>
      </c>
      <c r="H266" s="145">
        <f t="shared" si="271"/>
        <v>2</v>
      </c>
      <c r="I266" s="146">
        <f t="shared" si="272"/>
        <v>5.770298949601782</v>
      </c>
      <c r="J266" s="147"/>
      <c r="K266" s="145">
        <f t="shared" si="273"/>
        <v>0</v>
      </c>
      <c r="L266" s="145">
        <f t="shared" si="274"/>
        <v>6</v>
      </c>
      <c r="M266" s="145">
        <f t="shared" si="275"/>
        <v>15.04</v>
      </c>
      <c r="N266" s="145">
        <f t="shared" si="276"/>
        <v>43.39264810100539</v>
      </c>
      <c r="O266" s="145">
        <f t="shared" si="277"/>
        <v>0</v>
      </c>
      <c r="P266" s="145">
        <f t="shared" si="278"/>
        <v>37.08119579840712</v>
      </c>
      <c r="Q266" s="147">
        <f t="shared" si="279"/>
        <v>95.5138438994125</v>
      </c>
      <c r="R266" s="147"/>
      <c r="S266" s="128">
        <f t="shared" si="280"/>
        <v>0.11174948756108743</v>
      </c>
      <c r="T266" s="128">
        <f t="shared" si="281"/>
        <v>2.50971051210916</v>
      </c>
      <c r="U266" s="145">
        <f t="shared" si="282"/>
        <v>0</v>
      </c>
      <c r="V266" s="145">
        <f t="shared" si="283"/>
        <v>0</v>
      </c>
      <c r="W266" s="128">
        <f t="shared" si="223"/>
        <v>0</v>
      </c>
      <c r="X266" t="str">
        <f t="shared" si="224"/>
        <v>229,52</v>
      </c>
      <c r="Y266" s="151">
        <f t="shared" si="225"/>
        <v>0.11174948756108743</v>
      </c>
      <c r="Z266" s="151">
        <f t="shared" si="226"/>
        <v>2.50971051210916</v>
      </c>
    </row>
    <row r="267" spans="1:26" ht="12.75">
      <c r="A267" s="141">
        <f>+'SMAW-SMAW'!A267</f>
        <v>250</v>
      </c>
      <c r="B267" s="142">
        <v>22</v>
      </c>
      <c r="C267" s="143">
        <f t="shared" si="207"/>
        <v>558.8</v>
      </c>
      <c r="D267" s="143">
        <v>12.7</v>
      </c>
      <c r="E267" s="144" t="s">
        <v>93</v>
      </c>
      <c r="F267" s="145">
        <f t="shared" si="270"/>
        <v>2</v>
      </c>
      <c r="G267" s="145">
        <f t="shared" si="269"/>
        <v>2</v>
      </c>
      <c r="H267" s="145">
        <f t="shared" si="271"/>
        <v>2</v>
      </c>
      <c r="I267" s="146">
        <f t="shared" si="272"/>
        <v>8.210398771374875</v>
      </c>
      <c r="J267" s="147"/>
      <c r="K267" s="145">
        <f t="shared" si="273"/>
        <v>0</v>
      </c>
      <c r="L267" s="145">
        <f t="shared" si="274"/>
        <v>6</v>
      </c>
      <c r="M267" s="145">
        <f t="shared" si="275"/>
        <v>21.4</v>
      </c>
      <c r="N267" s="145">
        <f t="shared" si="276"/>
        <v>87.85126685371115</v>
      </c>
      <c r="O267" s="145">
        <f t="shared" si="277"/>
        <v>0</v>
      </c>
      <c r="P267" s="145">
        <f t="shared" si="278"/>
        <v>46.8415950854995</v>
      </c>
      <c r="Q267" s="147">
        <f t="shared" si="279"/>
        <v>156.09286193921065</v>
      </c>
      <c r="R267" s="147"/>
      <c r="S267" s="128">
        <f t="shared" si="280"/>
        <v>0.11044242793756139</v>
      </c>
      <c r="T267" s="128">
        <f t="shared" si="281"/>
        <v>4.089707115685289</v>
      </c>
      <c r="U267" s="145">
        <f t="shared" si="282"/>
        <v>0</v>
      </c>
      <c r="V267" s="145">
        <f t="shared" si="283"/>
        <v>0</v>
      </c>
      <c r="W267" s="128">
        <f t="shared" si="223"/>
        <v>0</v>
      </c>
      <c r="X267" t="str">
        <f t="shared" si="224"/>
        <v>2212,7</v>
      </c>
      <c r="Y267" s="151">
        <f t="shared" si="225"/>
        <v>0.11044242793756139</v>
      </c>
      <c r="Z267" s="151">
        <f t="shared" si="226"/>
        <v>4.089707115685289</v>
      </c>
    </row>
    <row r="268" spans="1:26" ht="12.75">
      <c r="A268" s="141">
        <f>+'SMAW-SMAW'!A268</f>
        <v>251</v>
      </c>
      <c r="B268" s="142">
        <v>22</v>
      </c>
      <c r="C268" s="143">
        <f t="shared" si="207"/>
        <v>558.8</v>
      </c>
      <c r="D268" s="143">
        <v>12.7</v>
      </c>
      <c r="E268" s="144" t="s">
        <v>82</v>
      </c>
      <c r="F268" s="145">
        <f t="shared" si="270"/>
        <v>2</v>
      </c>
      <c r="G268" s="145">
        <f t="shared" si="269"/>
        <v>2</v>
      </c>
      <c r="H268" s="145">
        <f t="shared" si="271"/>
        <v>2</v>
      </c>
      <c r="I268" s="146">
        <f t="shared" si="272"/>
        <v>8.210398771374875</v>
      </c>
      <c r="J268" s="147"/>
      <c r="K268" s="145">
        <f t="shared" si="273"/>
        <v>0</v>
      </c>
      <c r="L268" s="145">
        <f t="shared" si="274"/>
        <v>6</v>
      </c>
      <c r="M268" s="145">
        <f t="shared" si="275"/>
        <v>21.4</v>
      </c>
      <c r="N268" s="145">
        <f t="shared" si="276"/>
        <v>87.85126685371115</v>
      </c>
      <c r="O268" s="145">
        <f t="shared" si="277"/>
        <v>0</v>
      </c>
      <c r="P268" s="145">
        <f t="shared" si="278"/>
        <v>46.8415950854995</v>
      </c>
      <c r="Q268" s="147">
        <f t="shared" si="279"/>
        <v>156.09286193921065</v>
      </c>
      <c r="R268" s="147"/>
      <c r="S268" s="128">
        <f t="shared" si="280"/>
        <v>0.11044242793756139</v>
      </c>
      <c r="T268" s="128">
        <f t="shared" si="281"/>
        <v>4.089707115685289</v>
      </c>
      <c r="U268" s="145">
        <f t="shared" si="282"/>
        <v>0</v>
      </c>
      <c r="V268" s="145">
        <f t="shared" si="283"/>
        <v>0</v>
      </c>
      <c r="W268" s="128">
        <f t="shared" si="223"/>
        <v>0</v>
      </c>
      <c r="X268" t="str">
        <f t="shared" si="224"/>
        <v>2212,7</v>
      </c>
      <c r="Y268" s="151">
        <f t="shared" si="225"/>
        <v>0.11044242793756139</v>
      </c>
      <c r="Z268" s="151">
        <f t="shared" si="226"/>
        <v>4.089707115685289</v>
      </c>
    </row>
    <row r="269" spans="1:26" ht="12.75">
      <c r="A269" s="141">
        <f>+'SMAW-SMAW'!A269</f>
        <v>252</v>
      </c>
      <c r="B269" s="142">
        <v>22</v>
      </c>
      <c r="C269" s="143">
        <f t="shared" si="207"/>
        <v>558.8</v>
      </c>
      <c r="D269" s="143">
        <v>15.88</v>
      </c>
      <c r="E269" s="144" t="s">
        <v>87</v>
      </c>
      <c r="F269" s="145">
        <f t="shared" si="270"/>
        <v>2</v>
      </c>
      <c r="G269" s="145">
        <f t="shared" si="269"/>
        <v>2</v>
      </c>
      <c r="H269" s="145">
        <f t="shared" si="271"/>
        <v>2</v>
      </c>
      <c r="I269" s="146">
        <f t="shared" si="272"/>
        <v>10.65049859314797</v>
      </c>
      <c r="J269" s="147"/>
      <c r="K269" s="145">
        <f t="shared" si="273"/>
        <v>0</v>
      </c>
      <c r="L269" s="145">
        <f t="shared" si="274"/>
        <v>6</v>
      </c>
      <c r="M269" s="145">
        <f t="shared" si="275"/>
        <v>27.76</v>
      </c>
      <c r="N269" s="145">
        <f t="shared" si="276"/>
        <v>147.82892047289383</v>
      </c>
      <c r="O269" s="145">
        <f t="shared" si="277"/>
        <v>0</v>
      </c>
      <c r="P269" s="145">
        <f t="shared" si="278"/>
        <v>56.60199437259188</v>
      </c>
      <c r="Q269" s="147">
        <f t="shared" si="279"/>
        <v>232.1909148454857</v>
      </c>
      <c r="R269" s="147"/>
      <c r="S269" s="128">
        <f t="shared" si="280"/>
        <v>0.10913536831403534</v>
      </c>
      <c r="T269" s="128">
        <f t="shared" si="281"/>
        <v>6.066003356213284</v>
      </c>
      <c r="U269" s="145">
        <f t="shared" si="282"/>
        <v>0</v>
      </c>
      <c r="V269" s="145">
        <f t="shared" si="283"/>
        <v>0</v>
      </c>
      <c r="W269" s="128">
        <f t="shared" si="223"/>
        <v>0</v>
      </c>
      <c r="X269" t="str">
        <f t="shared" si="224"/>
        <v>2215,88</v>
      </c>
      <c r="Y269" s="151">
        <f t="shared" si="225"/>
        <v>0.10913536831403534</v>
      </c>
      <c r="Z269" s="151">
        <f t="shared" si="226"/>
        <v>6.066003356213284</v>
      </c>
    </row>
    <row r="270" spans="1:26" ht="12.75">
      <c r="A270" s="141">
        <f>+'SMAW-SMAW'!A270</f>
        <v>253</v>
      </c>
      <c r="B270" s="142">
        <v>22</v>
      </c>
      <c r="C270" s="143">
        <f t="shared" si="207"/>
        <v>558.8</v>
      </c>
      <c r="D270" s="143">
        <v>22.22</v>
      </c>
      <c r="E270" s="144" t="s">
        <v>94</v>
      </c>
      <c r="F270" s="145">
        <f t="shared" si="270"/>
        <v>2</v>
      </c>
      <c r="G270" s="145">
        <f t="shared" si="269"/>
        <v>2</v>
      </c>
      <c r="H270" s="145">
        <f t="shared" si="271"/>
        <v>3</v>
      </c>
      <c r="I270" s="146">
        <f t="shared" si="272"/>
        <v>13.044558795642326</v>
      </c>
      <c r="J270" s="147"/>
      <c r="K270" s="145">
        <f t="shared" si="273"/>
        <v>0.567772877881257</v>
      </c>
      <c r="L270" s="145">
        <f t="shared" si="274"/>
        <v>6</v>
      </c>
      <c r="M270" s="145">
        <f t="shared" si="275"/>
        <v>40.44</v>
      </c>
      <c r="N270" s="145">
        <f t="shared" si="276"/>
        <v>221.75749952591954</v>
      </c>
      <c r="O270" s="145">
        <f t="shared" si="277"/>
        <v>85.83518731071419</v>
      </c>
      <c r="P270" s="145">
        <f t="shared" si="278"/>
        <v>102.67399004114151</v>
      </c>
      <c r="Q270" s="147">
        <f t="shared" si="279"/>
        <v>450.70667687777524</v>
      </c>
      <c r="R270" s="147"/>
      <c r="S270" s="128">
        <f t="shared" si="280"/>
        <v>0.10652946956776015</v>
      </c>
      <c r="T270" s="128">
        <f t="shared" si="281"/>
        <v>11.706983037615336</v>
      </c>
      <c r="U270" s="145">
        <f t="shared" si="282"/>
        <v>0</v>
      </c>
      <c r="V270" s="145">
        <f t="shared" si="283"/>
        <v>0</v>
      </c>
      <c r="W270" s="128">
        <f t="shared" si="223"/>
        <v>0</v>
      </c>
      <c r="X270" t="str">
        <f t="shared" si="224"/>
        <v>2222,22</v>
      </c>
      <c r="Y270" s="151">
        <f t="shared" si="225"/>
        <v>0.10652946956776015</v>
      </c>
      <c r="Z270" s="151">
        <f t="shared" si="226"/>
        <v>11.706983037615336</v>
      </c>
    </row>
    <row r="271" spans="1:26" ht="12.75">
      <c r="A271" s="141">
        <f>+'SMAW-SMAW'!A271</f>
        <v>254</v>
      </c>
      <c r="B271" s="142">
        <v>22</v>
      </c>
      <c r="C271" s="143">
        <f t="shared" si="207"/>
        <v>558.8</v>
      </c>
      <c r="D271" s="143">
        <v>28.58</v>
      </c>
      <c r="E271" s="144" t="s">
        <v>89</v>
      </c>
      <c r="F271" s="145">
        <f t="shared" si="270"/>
        <v>2</v>
      </c>
      <c r="G271" s="145">
        <f t="shared" si="269"/>
        <v>2</v>
      </c>
      <c r="H271" s="145">
        <f t="shared" si="271"/>
        <v>3</v>
      </c>
      <c r="I271" s="146">
        <f t="shared" si="272"/>
        <v>13.044558795642326</v>
      </c>
      <c r="J271" s="147"/>
      <c r="K271" s="145">
        <f t="shared" si="273"/>
        <v>1.689212475187094</v>
      </c>
      <c r="L271" s="145">
        <f t="shared" si="274"/>
        <v>6</v>
      </c>
      <c r="M271" s="145">
        <f t="shared" si="275"/>
        <v>53.16</v>
      </c>
      <c r="N271" s="145">
        <f t="shared" si="276"/>
        <v>221.75749952591954</v>
      </c>
      <c r="O271" s="145">
        <f t="shared" si="277"/>
        <v>266.1164020367993</v>
      </c>
      <c r="P271" s="145">
        <f t="shared" si="278"/>
        <v>109.40262762497653</v>
      </c>
      <c r="Q271" s="147">
        <f t="shared" si="279"/>
        <v>650.4365291876953</v>
      </c>
      <c r="R271" s="147"/>
      <c r="S271" s="128">
        <f t="shared" si="280"/>
        <v>0.10391535032070809</v>
      </c>
      <c r="T271" s="128">
        <f t="shared" si="281"/>
        <v>16.79681618425742</v>
      </c>
      <c r="U271" s="145">
        <f t="shared" si="282"/>
        <v>0</v>
      </c>
      <c r="V271" s="145">
        <f t="shared" si="283"/>
        <v>0</v>
      </c>
      <c r="W271" s="128">
        <f t="shared" si="223"/>
        <v>0</v>
      </c>
      <c r="X271" t="str">
        <f t="shared" si="224"/>
        <v>2228,58</v>
      </c>
      <c r="Y271" s="151">
        <f t="shared" si="225"/>
        <v>0.10391535032070809</v>
      </c>
      <c r="Z271" s="151">
        <f t="shared" si="226"/>
        <v>16.79681618425742</v>
      </c>
    </row>
    <row r="272" spans="1:26" ht="12.75">
      <c r="A272" s="141">
        <f>+'SMAW-SMAW'!A272</f>
        <v>255</v>
      </c>
      <c r="B272" s="142">
        <v>22</v>
      </c>
      <c r="C272" s="143">
        <f t="shared" si="207"/>
        <v>558.8</v>
      </c>
      <c r="D272" s="143">
        <v>34.92</v>
      </c>
      <c r="E272" s="144" t="s">
        <v>95</v>
      </c>
      <c r="F272" s="145">
        <f t="shared" si="270"/>
        <v>2</v>
      </c>
      <c r="G272" s="145">
        <f t="shared" si="269"/>
        <v>2</v>
      </c>
      <c r="H272" s="145">
        <f t="shared" si="271"/>
        <v>3</v>
      </c>
      <c r="I272" s="146">
        <f t="shared" si="272"/>
        <v>13.044558795642326</v>
      </c>
      <c r="J272" s="147"/>
      <c r="K272" s="145">
        <f t="shared" si="273"/>
        <v>2.8071255328787625</v>
      </c>
      <c r="L272" s="145">
        <f t="shared" si="274"/>
        <v>6</v>
      </c>
      <c r="M272" s="145">
        <f t="shared" si="275"/>
        <v>65.84</v>
      </c>
      <c r="N272" s="145">
        <f t="shared" si="276"/>
        <v>221.75749952591954</v>
      </c>
      <c r="O272" s="145">
        <f t="shared" si="277"/>
        <v>460.0281905366816</v>
      </c>
      <c r="P272" s="145">
        <f t="shared" si="278"/>
        <v>116.11010597112653</v>
      </c>
      <c r="Q272" s="147">
        <f t="shared" si="279"/>
        <v>863.7357960337276</v>
      </c>
      <c r="R272" s="147"/>
      <c r="S272" s="128">
        <f t="shared" si="280"/>
        <v>0.1013094515744329</v>
      </c>
      <c r="T272" s="128">
        <f t="shared" si="281"/>
        <v>22.17518353329375</v>
      </c>
      <c r="U272" s="145">
        <f t="shared" si="282"/>
        <v>0</v>
      </c>
      <c r="V272" s="145">
        <f t="shared" si="283"/>
        <v>0</v>
      </c>
      <c r="W272" s="128">
        <f t="shared" si="223"/>
        <v>0</v>
      </c>
      <c r="X272" t="str">
        <f t="shared" si="224"/>
        <v>2234,92</v>
      </c>
      <c r="Y272" s="151">
        <f t="shared" si="225"/>
        <v>0.1013094515744329</v>
      </c>
      <c r="Z272" s="151">
        <f t="shared" si="226"/>
        <v>22.17518353329375</v>
      </c>
    </row>
    <row r="273" spans="1:26" ht="12.75">
      <c r="A273" s="141">
        <f>+'SMAW-SMAW'!A273</f>
        <v>256</v>
      </c>
      <c r="B273" s="142">
        <v>22</v>
      </c>
      <c r="C273" s="143">
        <f t="shared" si="207"/>
        <v>558.8</v>
      </c>
      <c r="D273" s="143">
        <v>41.28</v>
      </c>
      <c r="E273" s="144" t="s">
        <v>91</v>
      </c>
      <c r="F273" s="145">
        <f t="shared" si="270"/>
        <v>2</v>
      </c>
      <c r="G273" s="145">
        <f t="shared" si="269"/>
        <v>2</v>
      </c>
      <c r="H273" s="145">
        <f t="shared" si="271"/>
        <v>3</v>
      </c>
      <c r="I273" s="146">
        <f t="shared" si="272"/>
        <v>13.044558795642326</v>
      </c>
      <c r="J273" s="147"/>
      <c r="K273" s="145">
        <f t="shared" si="273"/>
        <v>3.9285651301846</v>
      </c>
      <c r="L273" s="145">
        <f t="shared" si="274"/>
        <v>6</v>
      </c>
      <c r="M273" s="145">
        <f t="shared" si="275"/>
        <v>78.56</v>
      </c>
      <c r="N273" s="145">
        <f t="shared" si="276"/>
        <v>221.75749952591954</v>
      </c>
      <c r="O273" s="145">
        <f t="shared" si="277"/>
        <v>668.793971034335</v>
      </c>
      <c r="P273" s="145">
        <f t="shared" si="278"/>
        <v>122.83874355496155</v>
      </c>
      <c r="Q273" s="147">
        <f t="shared" si="279"/>
        <v>1091.950214115216</v>
      </c>
      <c r="R273" s="147"/>
      <c r="S273" s="128">
        <f t="shared" si="280"/>
        <v>0.09869533232738086</v>
      </c>
      <c r="T273" s="128">
        <f t="shared" si="281"/>
        <v>27.869580924902372</v>
      </c>
      <c r="U273" s="145">
        <f t="shared" si="282"/>
        <v>0</v>
      </c>
      <c r="V273" s="145">
        <f t="shared" si="283"/>
        <v>0</v>
      </c>
      <c r="W273" s="128">
        <f t="shared" si="223"/>
        <v>0</v>
      </c>
      <c r="X273" t="str">
        <f t="shared" si="224"/>
        <v>2241,28</v>
      </c>
      <c r="Y273" s="151">
        <f t="shared" si="225"/>
        <v>0.09869533232738086</v>
      </c>
      <c r="Z273" s="151">
        <f t="shared" si="226"/>
        <v>27.869580924902372</v>
      </c>
    </row>
    <row r="274" spans="1:26" ht="12.75">
      <c r="A274" s="141">
        <f>+'SMAW-SMAW'!A274</f>
        <v>257</v>
      </c>
      <c r="B274" s="142">
        <v>22</v>
      </c>
      <c r="C274" s="143">
        <f t="shared" si="207"/>
        <v>558.8</v>
      </c>
      <c r="D274" s="143">
        <v>47.62</v>
      </c>
      <c r="E274" s="144" t="s">
        <v>96</v>
      </c>
      <c r="F274" s="145">
        <f t="shared" si="270"/>
        <v>2</v>
      </c>
      <c r="G274" s="145">
        <f t="shared" si="269"/>
        <v>2</v>
      </c>
      <c r="H274" s="145">
        <f t="shared" si="271"/>
        <v>3</v>
      </c>
      <c r="I274" s="146">
        <f t="shared" si="272"/>
        <v>13.044558795642326</v>
      </c>
      <c r="J274" s="147"/>
      <c r="K274" s="145">
        <f t="shared" si="273"/>
        <v>5.046478187876267</v>
      </c>
      <c r="L274" s="145">
        <f t="shared" si="274"/>
        <v>6</v>
      </c>
      <c r="M274" s="145">
        <f t="shared" si="275"/>
        <v>91.24</v>
      </c>
      <c r="N274" s="145">
        <f t="shared" si="276"/>
        <v>221.75749952591954</v>
      </c>
      <c r="O274" s="145">
        <f t="shared" si="277"/>
        <v>891.1007511995854</v>
      </c>
      <c r="P274" s="145">
        <f t="shared" si="278"/>
        <v>129.54622190111155</v>
      </c>
      <c r="Q274" s="147">
        <f t="shared" si="279"/>
        <v>1333.6444726266163</v>
      </c>
      <c r="R274" s="147"/>
      <c r="S274" s="128">
        <f t="shared" si="280"/>
        <v>0.09608943358110568</v>
      </c>
      <c r="T274" s="128">
        <f t="shared" si="281"/>
        <v>33.83778443783924</v>
      </c>
      <c r="U274" s="145">
        <f t="shared" si="282"/>
        <v>0</v>
      </c>
      <c r="V274" s="145">
        <f t="shared" si="283"/>
        <v>0</v>
      </c>
      <c r="W274" s="128">
        <f t="shared" si="223"/>
        <v>0</v>
      </c>
      <c r="X274" t="str">
        <f t="shared" si="224"/>
        <v>2247,62</v>
      </c>
      <c r="Y274" s="151">
        <f t="shared" si="225"/>
        <v>0.09608943358110568</v>
      </c>
      <c r="Z274" s="151">
        <f t="shared" si="226"/>
        <v>33.83778443783924</v>
      </c>
    </row>
    <row r="275" spans="1:26" ht="12.75">
      <c r="A275" s="141">
        <f>+'SMAW-SMAW'!A275</f>
        <v>258</v>
      </c>
      <c r="B275" s="142">
        <v>22</v>
      </c>
      <c r="C275" s="143">
        <f t="shared" si="207"/>
        <v>558.8</v>
      </c>
      <c r="D275" s="143">
        <v>53.98</v>
      </c>
      <c r="E275" s="144" t="s">
        <v>90</v>
      </c>
      <c r="F275" s="145">
        <f t="shared" si="270"/>
        <v>2</v>
      </c>
      <c r="G275" s="145">
        <f t="shared" si="269"/>
        <v>2</v>
      </c>
      <c r="H275" s="145">
        <f t="shared" si="271"/>
        <v>3</v>
      </c>
      <c r="I275" s="146">
        <f t="shared" si="272"/>
        <v>13.044558795642326</v>
      </c>
      <c r="J275" s="147"/>
      <c r="K275" s="145">
        <f t="shared" si="273"/>
        <v>6.167917785182104</v>
      </c>
      <c r="L275" s="145">
        <f t="shared" si="274"/>
        <v>6</v>
      </c>
      <c r="M275" s="145">
        <f t="shared" si="275"/>
        <v>103.96</v>
      </c>
      <c r="N275" s="145">
        <f t="shared" si="276"/>
        <v>221.75749952591954</v>
      </c>
      <c r="O275" s="145">
        <f t="shared" si="277"/>
        <v>1128.351097468807</v>
      </c>
      <c r="P275" s="145">
        <f t="shared" si="278"/>
        <v>136.27485948494657</v>
      </c>
      <c r="Q275" s="147">
        <f t="shared" si="279"/>
        <v>1590.343456479673</v>
      </c>
      <c r="R275" s="147"/>
      <c r="S275" s="128">
        <f t="shared" si="280"/>
        <v>0.09347531433405362</v>
      </c>
      <c r="T275" s="128">
        <f t="shared" si="281"/>
        <v>40.111011276092505</v>
      </c>
      <c r="U275" s="145">
        <f t="shared" si="282"/>
        <v>0</v>
      </c>
      <c r="V275" s="145">
        <f t="shared" si="283"/>
        <v>0</v>
      </c>
      <c r="W275" s="128">
        <f aca="true" t="shared" si="284" ref="W275:W323">SUM(U275:V275)</f>
        <v>0</v>
      </c>
      <c r="X275" t="str">
        <f t="shared" si="224"/>
        <v>2253,98</v>
      </c>
      <c r="Y275" s="151">
        <f t="shared" si="225"/>
        <v>0.09347531433405362</v>
      </c>
      <c r="Z275" s="151">
        <f t="shared" si="226"/>
        <v>40.111011276092505</v>
      </c>
    </row>
    <row r="276" spans="1:26" ht="12.75">
      <c r="A276" s="141">
        <f>+'SMAW-SMAW'!A276</f>
        <v>259</v>
      </c>
      <c r="B276" s="142"/>
      <c r="C276" s="143"/>
      <c r="D276" s="143"/>
      <c r="E276" s="144"/>
      <c r="F276" s="145"/>
      <c r="G276" s="145">
        <f t="shared" si="269"/>
        <v>0</v>
      </c>
      <c r="H276" s="145"/>
      <c r="I276" s="146"/>
      <c r="J276" s="147"/>
      <c r="K276" s="145"/>
      <c r="L276" s="145"/>
      <c r="M276" s="145"/>
      <c r="N276" s="145"/>
      <c r="O276" s="145"/>
      <c r="P276" s="145"/>
      <c r="Q276" s="147"/>
      <c r="R276" s="147"/>
      <c r="S276" s="128"/>
      <c r="T276" s="128"/>
      <c r="U276" s="145"/>
      <c r="V276" s="145"/>
      <c r="W276" s="128">
        <f t="shared" si="284"/>
        <v>0</v>
      </c>
      <c r="X276">
        <f t="shared" si="224"/>
      </c>
      <c r="Y276" s="151">
        <f t="shared" si="225"/>
        <v>0</v>
      </c>
      <c r="Z276" s="151">
        <f t="shared" si="226"/>
        <v>0</v>
      </c>
    </row>
    <row r="277" spans="1:26" ht="12.75">
      <c r="A277" s="141">
        <f>+'SMAW-SMAW'!A277</f>
        <v>260</v>
      </c>
      <c r="B277" s="142">
        <v>24</v>
      </c>
      <c r="C277" s="143">
        <f t="shared" si="207"/>
        <v>609.5999999999999</v>
      </c>
      <c r="D277" s="143">
        <v>5.54</v>
      </c>
      <c r="E277" s="144" t="s">
        <v>81</v>
      </c>
      <c r="F277" s="145">
        <f t="shared" si="0"/>
        <v>2</v>
      </c>
      <c r="G277" s="145">
        <f t="shared" si="269"/>
        <v>2</v>
      </c>
      <c r="H277" s="145">
        <f>IF(D277&lt;=19,2,3)</f>
        <v>2</v>
      </c>
      <c r="I277" s="146">
        <f>IF(D277&lt;=19,(D277-G277)*TAN($C$8*PI()/180),(19-G277)*TAN($C$8*PI()/180))</f>
        <v>2.71633753744552</v>
      </c>
      <c r="J277" s="147"/>
      <c r="K277" s="145">
        <f>IF(D277&lt;=19,0,(D277-19)*TAN($C$10*PI()/180))</f>
        <v>0</v>
      </c>
      <c r="L277" s="145">
        <f>+F277*(G277*1.5)</f>
        <v>6</v>
      </c>
      <c r="M277" s="145">
        <f>+F277*(D277-G277)</f>
        <v>7.08</v>
      </c>
      <c r="N277" s="145">
        <f>IF(D277&lt;=19,(D277-G277)*I277,(19-G277)*I277)</f>
        <v>9.61583488255714</v>
      </c>
      <c r="O277" s="145">
        <f>IF(D277&lt;=19,0,(I277*(D277-19)*2)+((K277)*(D277-19)))</f>
        <v>0</v>
      </c>
      <c r="P277" s="145">
        <f>+(5+F277+(2*(I277+K277)))*H277</f>
        <v>24.86535014978208</v>
      </c>
      <c r="Q277" s="147">
        <f>SUM(M277:P277)</f>
        <v>41.561185032339225</v>
      </c>
      <c r="R277" s="147"/>
      <c r="S277" s="128">
        <f>IF(D$6=1,(PI()*(C277-(2*D277)+(2*G277))*L277*0.1*0.01*7.85*0.001/(S$16*S$17)),0)</f>
        <v>0.12382540320234364</v>
      </c>
      <c r="T277" s="128">
        <f>IF(D$6=1,(PI()*(C277-(0.5*D277))*(Q277)*0.1*0.01*7.85*0.001/(T$16*T$17)),0)</f>
        <v>1.1961100814246826</v>
      </c>
      <c r="U277" s="145">
        <f>IF(D$6=1,0,(PI()*(C277-(2*D277)+(2*G277))*L277*0.1*0.01*7.85*0.001/(U$16*U$17)))</f>
        <v>0</v>
      </c>
      <c r="V277" s="145">
        <f>IF(D$6=1,0,(PI()*(C277-(0.5*D277))*(Q277)*0.1*0.01*7.85*0.001/(V$16*V$17)))</f>
        <v>0</v>
      </c>
      <c r="W277" s="128">
        <f t="shared" si="284"/>
        <v>0</v>
      </c>
      <c r="X277" t="str">
        <f t="shared" si="224"/>
        <v>245,54</v>
      </c>
      <c r="Y277" s="151">
        <f t="shared" si="225"/>
        <v>0.12382540320234364</v>
      </c>
      <c r="Z277" s="151">
        <f t="shared" si="226"/>
        <v>1.1961100814246826</v>
      </c>
    </row>
    <row r="278" spans="1:26" ht="12.75">
      <c r="A278" s="141">
        <f>+'SMAW-SMAW'!A278</f>
        <v>261</v>
      </c>
      <c r="B278" s="142">
        <v>24</v>
      </c>
      <c r="C278" s="143">
        <f t="shared" si="207"/>
        <v>609.5999999999999</v>
      </c>
      <c r="D278" s="143">
        <v>6.35</v>
      </c>
      <c r="E278" s="144" t="s">
        <v>84</v>
      </c>
      <c r="F278" s="145">
        <f aca="true" t="shared" si="285" ref="F278:F290">IF($D$6=1,2,3)</f>
        <v>2</v>
      </c>
      <c r="G278" s="145">
        <f t="shared" si="269"/>
        <v>2</v>
      </c>
      <c r="H278" s="145">
        <f aca="true" t="shared" si="286" ref="H278:H290">IF(D278&lt;=19,2,3)</f>
        <v>2</v>
      </c>
      <c r="I278" s="146">
        <f aca="true" t="shared" si="287" ref="I278:I290">IF(D278&lt;=19,(D278-G278)*TAN($C$8*PI()/180),(19-G278)*TAN($C$8*PI()/180))</f>
        <v>3.337872397708477</v>
      </c>
      <c r="J278" s="147"/>
      <c r="K278" s="145">
        <f aca="true" t="shared" si="288" ref="K278:K290">IF(D278&lt;=19,0,(D278-19)*TAN($C$10*PI()/180))</f>
        <v>0</v>
      </c>
      <c r="L278" s="145">
        <f aca="true" t="shared" si="289" ref="L278:L290">+F278*(G278*1.5)</f>
        <v>6</v>
      </c>
      <c r="M278" s="145">
        <f aca="true" t="shared" si="290" ref="M278:M290">+F278*(D278-G278)</f>
        <v>8.7</v>
      </c>
      <c r="N278" s="145">
        <f aca="true" t="shared" si="291" ref="N278:N290">IF(D278&lt;=19,(D278-G278)*I278,(19-G278)*I278)</f>
        <v>14.519744930031875</v>
      </c>
      <c r="O278" s="145">
        <f aca="true" t="shared" si="292" ref="O278:O290">IF(D278&lt;=19,0,(I278*(D278-19)*2)+((K278)*(D278-19)))</f>
        <v>0</v>
      </c>
      <c r="P278" s="145">
        <f aca="true" t="shared" si="293" ref="P278:P290">+(5+F278+(2*(I278+K278)))*H278</f>
        <v>27.351489590833907</v>
      </c>
      <c r="Q278" s="147">
        <f aca="true" t="shared" si="294" ref="Q278:Q290">SUM(M278:P278)</f>
        <v>50.57123452086578</v>
      </c>
      <c r="R278" s="147"/>
      <c r="S278" s="128">
        <f aca="true" t="shared" si="295" ref="S278:S290">IF(D$6=1,(PI()*(C278-(2*D278)+(2*G278))*L278*0.1*0.01*7.85*0.001/(S$16*S$17)),0)</f>
        <v>0.12349247292087943</v>
      </c>
      <c r="T278" s="128">
        <f aca="true" t="shared" si="296" ref="T278:T290">IF(D$6=1,(PI()*(C278-(0.5*D278))*(Q278)*0.1*0.01*7.85*0.001/(T$16*T$17)),0)</f>
        <v>1.4544434435032207</v>
      </c>
      <c r="U278" s="145">
        <f aca="true" t="shared" si="297" ref="U278:U290">IF(D$6=1,0,(PI()*(C278-(2*D278)+(2*G278))*L278*0.1*0.01*7.85*0.001/(U$16*U$17)))</f>
        <v>0</v>
      </c>
      <c r="V278" s="145">
        <f aca="true" t="shared" si="298" ref="V278:V290">IF(D$6=1,0,(PI()*(C278-(0.5*D278))*(Q278)*0.1*0.01*7.85*0.001/(V$16*V$17)))</f>
        <v>0</v>
      </c>
      <c r="W278" s="128">
        <f t="shared" si="284"/>
        <v>0</v>
      </c>
      <c r="X278" t="str">
        <f t="shared" si="224"/>
        <v>246,35</v>
      </c>
      <c r="Y278" s="151">
        <f t="shared" si="225"/>
        <v>0.12349247292087943</v>
      </c>
      <c r="Z278" s="151">
        <f t="shared" si="226"/>
        <v>1.4544434435032207</v>
      </c>
    </row>
    <row r="279" spans="1:26" ht="12.75">
      <c r="A279" s="141">
        <f>+'SMAW-SMAW'!A279</f>
        <v>262</v>
      </c>
      <c r="B279" s="142">
        <v>24</v>
      </c>
      <c r="C279" s="143">
        <f t="shared" si="207"/>
        <v>609.5999999999999</v>
      </c>
      <c r="D279" s="143">
        <v>6.35</v>
      </c>
      <c r="E279" s="144" t="s">
        <v>97</v>
      </c>
      <c r="F279" s="145">
        <f t="shared" si="285"/>
        <v>2</v>
      </c>
      <c r="G279" s="145">
        <f t="shared" si="269"/>
        <v>2</v>
      </c>
      <c r="H279" s="145">
        <f t="shared" si="286"/>
        <v>2</v>
      </c>
      <c r="I279" s="146">
        <f t="shared" si="287"/>
        <v>3.337872397708477</v>
      </c>
      <c r="J279" s="147"/>
      <c r="K279" s="145">
        <f t="shared" si="288"/>
        <v>0</v>
      </c>
      <c r="L279" s="145">
        <f t="shared" si="289"/>
        <v>6</v>
      </c>
      <c r="M279" s="145">
        <f t="shared" si="290"/>
        <v>8.7</v>
      </c>
      <c r="N279" s="145">
        <f t="shared" si="291"/>
        <v>14.519744930031875</v>
      </c>
      <c r="O279" s="145">
        <f t="shared" si="292"/>
        <v>0</v>
      </c>
      <c r="P279" s="145">
        <f t="shared" si="293"/>
        <v>27.351489590833907</v>
      </c>
      <c r="Q279" s="147">
        <f t="shared" si="294"/>
        <v>50.57123452086578</v>
      </c>
      <c r="R279" s="147"/>
      <c r="S279" s="128">
        <f t="shared" si="295"/>
        <v>0.12349247292087943</v>
      </c>
      <c r="T279" s="128">
        <f t="shared" si="296"/>
        <v>1.4544434435032207</v>
      </c>
      <c r="U279" s="145">
        <f t="shared" si="297"/>
        <v>0</v>
      </c>
      <c r="V279" s="145">
        <f t="shared" si="298"/>
        <v>0</v>
      </c>
      <c r="W279" s="128">
        <f t="shared" si="284"/>
        <v>0</v>
      </c>
      <c r="X279" t="str">
        <f t="shared" si="224"/>
        <v>246,35</v>
      </c>
      <c r="Y279" s="151">
        <f t="shared" si="225"/>
        <v>0.12349247292087943</v>
      </c>
      <c r="Z279" s="151">
        <f t="shared" si="226"/>
        <v>1.4544434435032207</v>
      </c>
    </row>
    <row r="280" spans="1:26" ht="12.75">
      <c r="A280" s="141">
        <f>+'SMAW-SMAW'!A280</f>
        <v>263</v>
      </c>
      <c r="B280" s="142">
        <v>24</v>
      </c>
      <c r="C280" s="143">
        <f t="shared" si="207"/>
        <v>609.5999999999999</v>
      </c>
      <c r="D280" s="143">
        <v>9.52</v>
      </c>
      <c r="E280" s="144" t="s">
        <v>92</v>
      </c>
      <c r="F280" s="145">
        <f t="shared" si="285"/>
        <v>2</v>
      </c>
      <c r="G280" s="145">
        <f t="shared" si="269"/>
        <v>2</v>
      </c>
      <c r="H280" s="145">
        <f t="shared" si="286"/>
        <v>2</v>
      </c>
      <c r="I280" s="146">
        <f t="shared" si="287"/>
        <v>5.770298949601782</v>
      </c>
      <c r="J280" s="147"/>
      <c r="K280" s="145">
        <f t="shared" si="288"/>
        <v>0</v>
      </c>
      <c r="L280" s="145">
        <f t="shared" si="289"/>
        <v>6</v>
      </c>
      <c r="M280" s="145">
        <f t="shared" si="290"/>
        <v>15.04</v>
      </c>
      <c r="N280" s="145">
        <f t="shared" si="291"/>
        <v>43.39264810100539</v>
      </c>
      <c r="O280" s="145">
        <f t="shared" si="292"/>
        <v>0</v>
      </c>
      <c r="P280" s="145">
        <f t="shared" si="293"/>
        <v>37.08119579840712</v>
      </c>
      <c r="Q280" s="147">
        <f t="shared" si="294"/>
        <v>95.5138438994125</v>
      </c>
      <c r="R280" s="147"/>
      <c r="S280" s="128">
        <f t="shared" si="295"/>
        <v>0.12218952354774185</v>
      </c>
      <c r="T280" s="128">
        <f t="shared" si="296"/>
        <v>2.7398261969245974</v>
      </c>
      <c r="U280" s="145">
        <f t="shared" si="297"/>
        <v>0</v>
      </c>
      <c r="V280" s="145">
        <f t="shared" si="298"/>
        <v>0</v>
      </c>
      <c r="W280" s="128">
        <f t="shared" si="284"/>
        <v>0</v>
      </c>
      <c r="X280" t="str">
        <f aca="true" t="shared" si="299" ref="X280:X343">+CONCATENATE(B280,D280)</f>
        <v>249,52</v>
      </c>
      <c r="Y280" s="151">
        <f aca="true" t="shared" si="300" ref="Y280:Y343">+S280</f>
        <v>0.12218952354774185</v>
      </c>
      <c r="Z280" s="151">
        <f aca="true" t="shared" si="301" ref="Z280:Z343">+T280</f>
        <v>2.7398261969245974</v>
      </c>
    </row>
    <row r="281" spans="1:26" ht="12.75">
      <c r="A281" s="141">
        <f>+'SMAW-SMAW'!A281</f>
        <v>264</v>
      </c>
      <c r="B281" s="142">
        <v>24</v>
      </c>
      <c r="C281" s="143">
        <f t="shared" si="207"/>
        <v>609.5999999999999</v>
      </c>
      <c r="D281" s="143">
        <v>9.52</v>
      </c>
      <c r="E281" s="144" t="s">
        <v>86</v>
      </c>
      <c r="F281" s="145">
        <f t="shared" si="285"/>
        <v>2</v>
      </c>
      <c r="G281" s="145">
        <f t="shared" si="269"/>
        <v>2</v>
      </c>
      <c r="H281" s="145">
        <f t="shared" si="286"/>
        <v>2</v>
      </c>
      <c r="I281" s="146">
        <f t="shared" si="287"/>
        <v>5.770298949601782</v>
      </c>
      <c r="J281" s="147"/>
      <c r="K281" s="145">
        <f t="shared" si="288"/>
        <v>0</v>
      </c>
      <c r="L281" s="145">
        <f t="shared" si="289"/>
        <v>6</v>
      </c>
      <c r="M281" s="145">
        <f t="shared" si="290"/>
        <v>15.04</v>
      </c>
      <c r="N281" s="145">
        <f t="shared" si="291"/>
        <v>43.39264810100539</v>
      </c>
      <c r="O281" s="145">
        <f t="shared" si="292"/>
        <v>0</v>
      </c>
      <c r="P281" s="145">
        <f t="shared" si="293"/>
        <v>37.08119579840712</v>
      </c>
      <c r="Q281" s="147">
        <f t="shared" si="294"/>
        <v>95.5138438994125</v>
      </c>
      <c r="R281" s="147"/>
      <c r="S281" s="128">
        <f t="shared" si="295"/>
        <v>0.12218952354774185</v>
      </c>
      <c r="T281" s="128">
        <f t="shared" si="296"/>
        <v>2.7398261969245974</v>
      </c>
      <c r="U281" s="145">
        <f t="shared" si="297"/>
        <v>0</v>
      </c>
      <c r="V281" s="145">
        <f t="shared" si="298"/>
        <v>0</v>
      </c>
      <c r="W281" s="128">
        <f t="shared" si="284"/>
        <v>0</v>
      </c>
      <c r="X281" t="str">
        <f t="shared" si="299"/>
        <v>249,52</v>
      </c>
      <c r="Y281" s="151">
        <f t="shared" si="300"/>
        <v>0.12218952354774185</v>
      </c>
      <c r="Z281" s="151">
        <f t="shared" si="301"/>
        <v>2.7398261969245974</v>
      </c>
    </row>
    <row r="282" spans="1:26" ht="12.75">
      <c r="A282" s="141">
        <f>+'SMAW-SMAW'!A282</f>
        <v>265</v>
      </c>
      <c r="B282" s="142">
        <v>24</v>
      </c>
      <c r="C282" s="143">
        <f t="shared" si="207"/>
        <v>609.5999999999999</v>
      </c>
      <c r="D282" s="143">
        <v>12.7</v>
      </c>
      <c r="E282" s="144" t="s">
        <v>82</v>
      </c>
      <c r="F282" s="145">
        <f t="shared" si="285"/>
        <v>2</v>
      </c>
      <c r="G282" s="145">
        <f t="shared" si="269"/>
        <v>2</v>
      </c>
      <c r="H282" s="145">
        <f t="shared" si="286"/>
        <v>2</v>
      </c>
      <c r="I282" s="146">
        <f t="shared" si="287"/>
        <v>8.210398771374875</v>
      </c>
      <c r="J282" s="147"/>
      <c r="K282" s="145">
        <f t="shared" si="288"/>
        <v>0</v>
      </c>
      <c r="L282" s="145">
        <f t="shared" si="289"/>
        <v>6</v>
      </c>
      <c r="M282" s="145">
        <f t="shared" si="290"/>
        <v>21.4</v>
      </c>
      <c r="N282" s="145">
        <f t="shared" si="291"/>
        <v>87.85126685371115</v>
      </c>
      <c r="O282" s="145">
        <f t="shared" si="292"/>
        <v>0</v>
      </c>
      <c r="P282" s="145">
        <f t="shared" si="293"/>
        <v>46.8415950854995</v>
      </c>
      <c r="Q282" s="147">
        <f t="shared" si="294"/>
        <v>156.09286193921065</v>
      </c>
      <c r="R282" s="147"/>
      <c r="S282" s="128">
        <f t="shared" si="295"/>
        <v>0.12088246392421582</v>
      </c>
      <c r="T282" s="128">
        <f t="shared" si="296"/>
        <v>4.465772137817267</v>
      </c>
      <c r="U282" s="145">
        <f t="shared" si="297"/>
        <v>0</v>
      </c>
      <c r="V282" s="145">
        <f t="shared" si="298"/>
        <v>0</v>
      </c>
      <c r="W282" s="128">
        <f t="shared" si="284"/>
        <v>0</v>
      </c>
      <c r="X282" t="str">
        <f t="shared" si="299"/>
        <v>2412,7</v>
      </c>
      <c r="Y282" s="151">
        <f t="shared" si="300"/>
        <v>0.12088246392421582</v>
      </c>
      <c r="Z282" s="151">
        <f t="shared" si="301"/>
        <v>4.465772137817267</v>
      </c>
    </row>
    <row r="283" spans="1:26" ht="12.75">
      <c r="A283" s="141">
        <f>+'SMAW-SMAW'!A283</f>
        <v>266</v>
      </c>
      <c r="B283" s="142">
        <v>24</v>
      </c>
      <c r="C283" s="143">
        <f t="shared" si="207"/>
        <v>609.5999999999999</v>
      </c>
      <c r="D283" s="143">
        <v>14.27</v>
      </c>
      <c r="E283" s="144" t="s">
        <v>93</v>
      </c>
      <c r="F283" s="145">
        <f t="shared" si="285"/>
        <v>2</v>
      </c>
      <c r="G283" s="145">
        <f t="shared" si="269"/>
        <v>2</v>
      </c>
      <c r="H283" s="145">
        <f t="shared" si="286"/>
        <v>2</v>
      </c>
      <c r="I283" s="146">
        <f t="shared" si="287"/>
        <v>9.415102142501844</v>
      </c>
      <c r="J283" s="147"/>
      <c r="K283" s="145">
        <f t="shared" si="288"/>
        <v>0</v>
      </c>
      <c r="L283" s="145">
        <f t="shared" si="289"/>
        <v>6</v>
      </c>
      <c r="M283" s="145">
        <f t="shared" si="290"/>
        <v>24.54</v>
      </c>
      <c r="N283" s="145">
        <f t="shared" si="291"/>
        <v>115.52330328849763</v>
      </c>
      <c r="O283" s="145">
        <f t="shared" si="292"/>
        <v>0</v>
      </c>
      <c r="P283" s="145">
        <f t="shared" si="293"/>
        <v>51.66040857000738</v>
      </c>
      <c r="Q283" s="147">
        <f t="shared" si="294"/>
        <v>191.723711858505</v>
      </c>
      <c r="R283" s="147"/>
      <c r="S283" s="128">
        <f t="shared" si="295"/>
        <v>0.1202371546132297</v>
      </c>
      <c r="T283" s="128">
        <f t="shared" si="296"/>
        <v>5.478022808091046</v>
      </c>
      <c r="U283" s="145">
        <f t="shared" si="297"/>
        <v>0</v>
      </c>
      <c r="V283" s="145">
        <f t="shared" si="298"/>
        <v>0</v>
      </c>
      <c r="W283" s="128">
        <f t="shared" si="284"/>
        <v>0</v>
      </c>
      <c r="X283" t="str">
        <f t="shared" si="299"/>
        <v>2414,27</v>
      </c>
      <c r="Y283" s="151">
        <f t="shared" si="300"/>
        <v>0.1202371546132297</v>
      </c>
      <c r="Z283" s="151">
        <f t="shared" si="301"/>
        <v>5.478022808091046</v>
      </c>
    </row>
    <row r="284" spans="1:26" ht="12.75">
      <c r="A284" s="141">
        <f>+'SMAW-SMAW'!A284</f>
        <v>267</v>
      </c>
      <c r="B284" s="142">
        <v>24</v>
      </c>
      <c r="C284" s="143">
        <f t="shared" si="207"/>
        <v>609.5999999999999</v>
      </c>
      <c r="D284" s="143">
        <v>17.48</v>
      </c>
      <c r="E284" s="144" t="s">
        <v>87</v>
      </c>
      <c r="F284" s="145">
        <f t="shared" si="285"/>
        <v>2</v>
      </c>
      <c r="G284" s="145">
        <f t="shared" si="269"/>
        <v>2</v>
      </c>
      <c r="H284" s="145">
        <f t="shared" si="286"/>
        <v>2</v>
      </c>
      <c r="I284" s="146">
        <f t="shared" si="287"/>
        <v>11.878221773914307</v>
      </c>
      <c r="J284" s="147"/>
      <c r="K284" s="145">
        <f t="shared" si="288"/>
        <v>0</v>
      </c>
      <c r="L284" s="145">
        <f t="shared" si="289"/>
        <v>6</v>
      </c>
      <c r="M284" s="145">
        <f t="shared" si="290"/>
        <v>30.96</v>
      </c>
      <c r="N284" s="145">
        <f t="shared" si="291"/>
        <v>183.87487306019347</v>
      </c>
      <c r="O284" s="145">
        <f t="shared" si="292"/>
        <v>0</v>
      </c>
      <c r="P284" s="145">
        <f t="shared" si="293"/>
        <v>61.51288709565723</v>
      </c>
      <c r="Q284" s="147">
        <f t="shared" si="294"/>
        <v>276.3477601558507</v>
      </c>
      <c r="R284" s="147"/>
      <c r="S284" s="128">
        <f t="shared" si="295"/>
        <v>0.11891776423853835</v>
      </c>
      <c r="T284" s="128">
        <f t="shared" si="296"/>
        <v>7.874906900957316</v>
      </c>
      <c r="U284" s="145">
        <f t="shared" si="297"/>
        <v>0</v>
      </c>
      <c r="V284" s="145">
        <f t="shared" si="298"/>
        <v>0</v>
      </c>
      <c r="W284" s="128">
        <f t="shared" si="284"/>
        <v>0</v>
      </c>
      <c r="X284" t="str">
        <f t="shared" si="299"/>
        <v>2417,48</v>
      </c>
      <c r="Y284" s="151">
        <f t="shared" si="300"/>
        <v>0.11891776423853835</v>
      </c>
      <c r="Z284" s="151">
        <f t="shared" si="301"/>
        <v>7.874906900957316</v>
      </c>
    </row>
    <row r="285" spans="1:26" ht="12.75">
      <c r="A285" s="141">
        <f>+'SMAW-SMAW'!A285</f>
        <v>268</v>
      </c>
      <c r="B285" s="142">
        <v>24</v>
      </c>
      <c r="C285" s="143">
        <f t="shared" si="207"/>
        <v>609.5999999999999</v>
      </c>
      <c r="D285" s="143">
        <v>24.61</v>
      </c>
      <c r="E285" s="144" t="s">
        <v>94</v>
      </c>
      <c r="F285" s="145">
        <f t="shared" si="285"/>
        <v>2</v>
      </c>
      <c r="G285" s="145">
        <f t="shared" si="269"/>
        <v>2</v>
      </c>
      <c r="H285" s="145">
        <f t="shared" si="286"/>
        <v>3</v>
      </c>
      <c r="I285" s="146">
        <f t="shared" si="287"/>
        <v>13.044558795642326</v>
      </c>
      <c r="J285" s="147"/>
      <c r="K285" s="145">
        <f t="shared" si="288"/>
        <v>0.9891943617744884</v>
      </c>
      <c r="L285" s="145">
        <f t="shared" si="289"/>
        <v>6</v>
      </c>
      <c r="M285" s="145">
        <f t="shared" si="290"/>
        <v>45.22</v>
      </c>
      <c r="N285" s="145">
        <f t="shared" si="291"/>
        <v>221.75749952591954</v>
      </c>
      <c r="O285" s="145">
        <f t="shared" si="292"/>
        <v>151.90933005666176</v>
      </c>
      <c r="P285" s="145">
        <f t="shared" si="293"/>
        <v>105.2025189445009</v>
      </c>
      <c r="Q285" s="147">
        <f t="shared" si="294"/>
        <v>524.0893485270822</v>
      </c>
      <c r="R285" s="147"/>
      <c r="S285" s="128">
        <f t="shared" si="295"/>
        <v>0.11598715571157589</v>
      </c>
      <c r="T285" s="128">
        <f t="shared" si="296"/>
        <v>14.84603220595025</v>
      </c>
      <c r="U285" s="145">
        <f t="shared" si="297"/>
        <v>0</v>
      </c>
      <c r="V285" s="145">
        <f t="shared" si="298"/>
        <v>0</v>
      </c>
      <c r="W285" s="128">
        <f t="shared" si="284"/>
        <v>0</v>
      </c>
      <c r="X285" t="str">
        <f t="shared" si="299"/>
        <v>2424,61</v>
      </c>
      <c r="Y285" s="151">
        <f t="shared" si="300"/>
        <v>0.11598715571157589</v>
      </c>
      <c r="Z285" s="151">
        <f t="shared" si="301"/>
        <v>14.84603220595025</v>
      </c>
    </row>
    <row r="286" spans="1:26" ht="12.75">
      <c r="A286" s="141">
        <f>+'SMAW-SMAW'!A286</f>
        <v>269</v>
      </c>
      <c r="B286" s="142">
        <v>24</v>
      </c>
      <c r="C286" s="143">
        <f t="shared" si="207"/>
        <v>609.5999999999999</v>
      </c>
      <c r="D286" s="143">
        <v>30.96</v>
      </c>
      <c r="E286" s="144" t="s">
        <v>89</v>
      </c>
      <c r="F286" s="145">
        <f t="shared" si="285"/>
        <v>2</v>
      </c>
      <c r="G286" s="145">
        <f t="shared" si="269"/>
        <v>2</v>
      </c>
      <c r="H286" s="145">
        <f t="shared" si="286"/>
        <v>3</v>
      </c>
      <c r="I286" s="146">
        <f t="shared" si="287"/>
        <v>13.044558795642326</v>
      </c>
      <c r="J286" s="147"/>
      <c r="K286" s="145">
        <f t="shared" si="288"/>
        <v>2.108870689273241</v>
      </c>
      <c r="L286" s="145">
        <f t="shared" si="289"/>
        <v>6</v>
      </c>
      <c r="M286" s="145">
        <f t="shared" si="290"/>
        <v>57.92</v>
      </c>
      <c r="N286" s="145">
        <f t="shared" si="291"/>
        <v>221.75749952591954</v>
      </c>
      <c r="O286" s="145">
        <f t="shared" si="292"/>
        <v>337.24793983547244</v>
      </c>
      <c r="P286" s="145">
        <f t="shared" si="293"/>
        <v>111.9205769094934</v>
      </c>
      <c r="Q286" s="147">
        <f t="shared" si="294"/>
        <v>728.8460162708853</v>
      </c>
      <c r="R286" s="147"/>
      <c r="S286" s="128">
        <f t="shared" si="295"/>
        <v>0.11337714671491225</v>
      </c>
      <c r="T286" s="128">
        <f t="shared" si="296"/>
        <v>20.53648642987761</v>
      </c>
      <c r="U286" s="145">
        <f t="shared" si="297"/>
        <v>0</v>
      </c>
      <c r="V286" s="145">
        <f t="shared" si="298"/>
        <v>0</v>
      </c>
      <c r="W286" s="128">
        <f t="shared" si="284"/>
        <v>0</v>
      </c>
      <c r="X286" t="str">
        <f t="shared" si="299"/>
        <v>2430,96</v>
      </c>
      <c r="Y286" s="151">
        <f t="shared" si="300"/>
        <v>0.11337714671491225</v>
      </c>
      <c r="Z286" s="151">
        <f t="shared" si="301"/>
        <v>20.53648642987761</v>
      </c>
    </row>
    <row r="287" spans="1:26" ht="12.75">
      <c r="A287" s="141">
        <f>+'SMAW-SMAW'!A287</f>
        <v>270</v>
      </c>
      <c r="B287" s="142">
        <v>24</v>
      </c>
      <c r="C287" s="143">
        <f t="shared" si="207"/>
        <v>609.5999999999999</v>
      </c>
      <c r="D287" s="143">
        <v>38.89</v>
      </c>
      <c r="E287" s="144" t="s">
        <v>95</v>
      </c>
      <c r="F287" s="145">
        <f t="shared" si="285"/>
        <v>2</v>
      </c>
      <c r="G287" s="145">
        <f t="shared" si="269"/>
        <v>2</v>
      </c>
      <c r="H287" s="145">
        <f t="shared" si="286"/>
        <v>3</v>
      </c>
      <c r="I287" s="146">
        <f t="shared" si="287"/>
        <v>13.044558795642326</v>
      </c>
      <c r="J287" s="147"/>
      <c r="K287" s="145">
        <f t="shared" si="288"/>
        <v>3.5071436462913685</v>
      </c>
      <c r="L287" s="145">
        <f t="shared" si="289"/>
        <v>6</v>
      </c>
      <c r="M287" s="145">
        <f t="shared" si="290"/>
        <v>73.78</v>
      </c>
      <c r="N287" s="145">
        <f t="shared" si="291"/>
        <v>221.75749952591954</v>
      </c>
      <c r="O287" s="145">
        <f t="shared" si="292"/>
        <v>588.669636015387</v>
      </c>
      <c r="P287" s="145">
        <f t="shared" si="293"/>
        <v>120.31021465160217</v>
      </c>
      <c r="Q287" s="147">
        <f t="shared" si="294"/>
        <v>1004.5173501929087</v>
      </c>
      <c r="R287" s="147"/>
      <c r="S287" s="128">
        <f t="shared" si="295"/>
        <v>0.11011771815687409</v>
      </c>
      <c r="T287" s="128">
        <f t="shared" si="296"/>
        <v>28.11510560508726</v>
      </c>
      <c r="U287" s="145">
        <f t="shared" si="297"/>
        <v>0</v>
      </c>
      <c r="V287" s="145">
        <f t="shared" si="298"/>
        <v>0</v>
      </c>
      <c r="W287" s="128">
        <f t="shared" si="284"/>
        <v>0</v>
      </c>
      <c r="X287" t="str">
        <f t="shared" si="299"/>
        <v>2438,89</v>
      </c>
      <c r="Y287" s="151">
        <f t="shared" si="300"/>
        <v>0.11011771815687409</v>
      </c>
      <c r="Z287" s="151">
        <f t="shared" si="301"/>
        <v>28.11510560508726</v>
      </c>
    </row>
    <row r="288" spans="1:26" ht="12.75">
      <c r="A288" s="141">
        <f>+'SMAW-SMAW'!A288</f>
        <v>271</v>
      </c>
      <c r="B288" s="142">
        <v>24</v>
      </c>
      <c r="C288" s="143">
        <f t="shared" si="207"/>
        <v>609.5999999999999</v>
      </c>
      <c r="D288" s="143">
        <v>46.02</v>
      </c>
      <c r="E288" s="144" t="s">
        <v>91</v>
      </c>
      <c r="F288" s="145">
        <f t="shared" si="285"/>
        <v>2</v>
      </c>
      <c r="G288" s="145">
        <f t="shared" si="269"/>
        <v>2</v>
      </c>
      <c r="H288" s="145">
        <f t="shared" si="286"/>
        <v>3</v>
      </c>
      <c r="I288" s="146">
        <f t="shared" si="287"/>
        <v>13.044558795642326</v>
      </c>
      <c r="J288" s="147"/>
      <c r="K288" s="145">
        <f t="shared" si="288"/>
        <v>4.764355018742724</v>
      </c>
      <c r="L288" s="145">
        <f t="shared" si="289"/>
        <v>6</v>
      </c>
      <c r="M288" s="145">
        <f t="shared" si="290"/>
        <v>88.04</v>
      </c>
      <c r="N288" s="145">
        <f t="shared" si="291"/>
        <v>221.75749952591954</v>
      </c>
      <c r="O288" s="145">
        <f t="shared" si="292"/>
        <v>833.6608299229397</v>
      </c>
      <c r="P288" s="145">
        <f t="shared" si="293"/>
        <v>127.8534828863103</v>
      </c>
      <c r="Q288" s="147">
        <f t="shared" si="294"/>
        <v>1271.3118123351696</v>
      </c>
      <c r="R288" s="147"/>
      <c r="S288" s="128">
        <f t="shared" si="295"/>
        <v>0.10718710962991163</v>
      </c>
      <c r="T288" s="128">
        <f t="shared" si="296"/>
        <v>35.36738279918339</v>
      </c>
      <c r="U288" s="145">
        <f t="shared" si="297"/>
        <v>0</v>
      </c>
      <c r="V288" s="145">
        <f t="shared" si="298"/>
        <v>0</v>
      </c>
      <c r="W288" s="128">
        <f t="shared" si="284"/>
        <v>0</v>
      </c>
      <c r="X288" t="str">
        <f t="shared" si="299"/>
        <v>2446,02</v>
      </c>
      <c r="Y288" s="151">
        <f t="shared" si="300"/>
        <v>0.10718710962991163</v>
      </c>
      <c r="Z288" s="151">
        <f t="shared" si="301"/>
        <v>35.36738279918339</v>
      </c>
    </row>
    <row r="289" spans="1:26" ht="12.75">
      <c r="A289" s="141">
        <f>+'SMAW-SMAW'!A289</f>
        <v>272</v>
      </c>
      <c r="B289" s="142">
        <v>24</v>
      </c>
      <c r="C289" s="143">
        <f t="shared" si="207"/>
        <v>609.5999999999999</v>
      </c>
      <c r="D289" s="143">
        <v>52.39</v>
      </c>
      <c r="E289" s="144" t="s">
        <v>96</v>
      </c>
      <c r="F289" s="145">
        <f t="shared" si="285"/>
        <v>2</v>
      </c>
      <c r="G289" s="145">
        <f t="shared" si="269"/>
        <v>2</v>
      </c>
      <c r="H289" s="145">
        <f t="shared" si="286"/>
        <v>3</v>
      </c>
      <c r="I289" s="146">
        <f t="shared" si="287"/>
        <v>13.044558795642326</v>
      </c>
      <c r="J289" s="147"/>
      <c r="K289" s="145">
        <f t="shared" si="288"/>
        <v>5.887557885855646</v>
      </c>
      <c r="L289" s="145">
        <f t="shared" si="289"/>
        <v>6</v>
      </c>
      <c r="M289" s="145">
        <f t="shared" si="290"/>
        <v>100.78</v>
      </c>
      <c r="N289" s="145">
        <f t="shared" si="291"/>
        <v>221.75749952591954</v>
      </c>
      <c r="O289" s="145">
        <f t="shared" si="292"/>
        <v>1067.7011941817145</v>
      </c>
      <c r="P289" s="145">
        <f t="shared" si="293"/>
        <v>134.59270008898784</v>
      </c>
      <c r="Q289" s="147">
        <f t="shared" si="294"/>
        <v>1524.8313937966218</v>
      </c>
      <c r="R289" s="147"/>
      <c r="S289" s="128">
        <f t="shared" si="295"/>
        <v>0.1045688801324711</v>
      </c>
      <c r="T289" s="128">
        <f t="shared" si="296"/>
        <v>42.189867113528926</v>
      </c>
      <c r="U289" s="145">
        <f t="shared" si="297"/>
        <v>0</v>
      </c>
      <c r="V289" s="145">
        <f t="shared" si="298"/>
        <v>0</v>
      </c>
      <c r="W289" s="128">
        <f t="shared" si="284"/>
        <v>0</v>
      </c>
      <c r="X289" t="str">
        <f t="shared" si="299"/>
        <v>2452,39</v>
      </c>
      <c r="Y289" s="151">
        <f t="shared" si="300"/>
        <v>0.1045688801324711</v>
      </c>
      <c r="Z289" s="151">
        <f t="shared" si="301"/>
        <v>42.189867113528926</v>
      </c>
    </row>
    <row r="290" spans="1:26" ht="12.75">
      <c r="A290" s="141">
        <f>+'SMAW-SMAW'!A290</f>
        <v>273</v>
      </c>
      <c r="B290" s="142">
        <v>24</v>
      </c>
      <c r="C290" s="143">
        <f t="shared" si="207"/>
        <v>609.5999999999999</v>
      </c>
      <c r="D290" s="143">
        <v>59.54</v>
      </c>
      <c r="E290" s="144" t="s">
        <v>90</v>
      </c>
      <c r="F290" s="145">
        <f t="shared" si="285"/>
        <v>2</v>
      </c>
      <c r="G290" s="145">
        <f t="shared" si="269"/>
        <v>2</v>
      </c>
      <c r="H290" s="145">
        <f t="shared" si="286"/>
        <v>3</v>
      </c>
      <c r="I290" s="146">
        <f t="shared" si="287"/>
        <v>13.044558795642326</v>
      </c>
      <c r="J290" s="147"/>
      <c r="K290" s="145">
        <f t="shared" si="288"/>
        <v>7.14829579792117</v>
      </c>
      <c r="L290" s="145">
        <f t="shared" si="289"/>
        <v>6</v>
      </c>
      <c r="M290" s="145">
        <f t="shared" si="290"/>
        <v>115.08</v>
      </c>
      <c r="N290" s="145">
        <f t="shared" si="291"/>
        <v>221.75749952591954</v>
      </c>
      <c r="O290" s="145">
        <f t="shared" si="292"/>
        <v>1347.444738798404</v>
      </c>
      <c r="P290" s="145">
        <f t="shared" si="293"/>
        <v>142.15712756138097</v>
      </c>
      <c r="Q290" s="147">
        <f t="shared" si="294"/>
        <v>1826.4393658857045</v>
      </c>
      <c r="R290" s="147"/>
      <c r="S290" s="128">
        <f t="shared" si="295"/>
        <v>0.10163005110473175</v>
      </c>
      <c r="T290" s="128">
        <f t="shared" si="296"/>
        <v>50.22525224621804</v>
      </c>
      <c r="U290" s="145">
        <f t="shared" si="297"/>
        <v>0</v>
      </c>
      <c r="V290" s="145">
        <f t="shared" si="298"/>
        <v>0</v>
      </c>
      <c r="W290" s="128">
        <f t="shared" si="284"/>
        <v>0</v>
      </c>
      <c r="X290" t="str">
        <f t="shared" si="299"/>
        <v>2459,54</v>
      </c>
      <c r="Y290" s="151">
        <f t="shared" si="300"/>
        <v>0.10163005110473175</v>
      </c>
      <c r="Z290" s="151">
        <f t="shared" si="301"/>
        <v>50.22525224621804</v>
      </c>
    </row>
    <row r="291" spans="1:26" ht="12.75">
      <c r="A291" s="141">
        <f>+'SMAW-SMAW'!A291</f>
        <v>274</v>
      </c>
      <c r="B291" s="142"/>
      <c r="C291" s="143"/>
      <c r="D291" s="143"/>
      <c r="E291" s="144"/>
      <c r="F291" s="145"/>
      <c r="G291" s="145">
        <f t="shared" si="269"/>
        <v>0</v>
      </c>
      <c r="H291" s="145"/>
      <c r="I291" s="146"/>
      <c r="J291" s="147"/>
      <c r="K291" s="145"/>
      <c r="L291" s="145"/>
      <c r="M291" s="145"/>
      <c r="N291" s="145"/>
      <c r="O291" s="145"/>
      <c r="P291" s="145"/>
      <c r="Q291" s="147"/>
      <c r="R291" s="147"/>
      <c r="S291" s="128"/>
      <c r="T291" s="128"/>
      <c r="U291" s="145"/>
      <c r="V291" s="145"/>
      <c r="W291" s="128">
        <f t="shared" si="284"/>
        <v>0</v>
      </c>
      <c r="X291">
        <f t="shared" si="299"/>
      </c>
      <c r="Y291" s="151">
        <f t="shared" si="300"/>
        <v>0</v>
      </c>
      <c r="Z291" s="151">
        <f t="shared" si="301"/>
        <v>0</v>
      </c>
    </row>
    <row r="292" spans="1:26" ht="12.75">
      <c r="A292" s="141">
        <f>+'SMAW-SMAW'!A292</f>
        <v>275</v>
      </c>
      <c r="B292" s="142">
        <v>26</v>
      </c>
      <c r="C292" s="143">
        <f t="shared" si="207"/>
        <v>660.4</v>
      </c>
      <c r="D292" s="143">
        <v>7.92</v>
      </c>
      <c r="E292" s="144" t="s">
        <v>97</v>
      </c>
      <c r="F292" s="145">
        <f>IF($D$6=1,2,3)</f>
        <v>2</v>
      </c>
      <c r="G292" s="145">
        <f t="shared" si="269"/>
        <v>2</v>
      </c>
      <c r="H292" s="145">
        <f>IF(D292&lt;=19,2,3)</f>
        <v>2</v>
      </c>
      <c r="I292" s="146">
        <f>IF(D292&lt;=19,(D292-G292)*TAN($C$8*PI()/180),(19-G292)*TAN($C$8*PI()/180))</f>
        <v>4.542575768835445</v>
      </c>
      <c r="J292" s="147"/>
      <c r="K292" s="145">
        <f>IF(D292&lt;=19,0,(D292-19)*TAN($C$10*PI()/180))</f>
        <v>0</v>
      </c>
      <c r="L292" s="145">
        <f>+F292*(G292*1.5)</f>
        <v>6</v>
      </c>
      <c r="M292" s="145">
        <f>+F292*(D292-G292)</f>
        <v>11.84</v>
      </c>
      <c r="N292" s="145">
        <f>IF(D292&lt;=19,(D292-G292)*I292,(19-G292)*I292)</f>
        <v>26.892048551505837</v>
      </c>
      <c r="O292" s="145">
        <f>IF(D292&lt;=19,0,(I292*(D292-19)*2)+((K292)*(D292-19)))</f>
        <v>0</v>
      </c>
      <c r="P292" s="145">
        <f>+(5+F292+(2*(I292+K292)))*H292</f>
        <v>32.17030307534178</v>
      </c>
      <c r="Q292" s="147">
        <f>SUM(M292:P292)</f>
        <v>70.90235162684762</v>
      </c>
      <c r="R292" s="147"/>
      <c r="S292" s="128">
        <f>IF(D$6=1,(PI()*(C292-(2*D292)+(2*G292))*L292*0.1*0.01*7.85*0.001/(S$16*S$17)),0)</f>
        <v>0.1332871995965478</v>
      </c>
      <c r="T292" s="128">
        <f>IF(D$6=1,(PI()*(C292-(0.5*D292))*(Q292)*0.1*0.01*7.85*0.001/(T$16*T$17)),0)</f>
        <v>2.207353361992794</v>
      </c>
      <c r="U292" s="145">
        <f>IF(D$6=1,0,(PI()*(C292-(2*D292)+(2*G292))*L292*0.1*0.01*7.85*0.001/(U$16*U$17)))</f>
        <v>0</v>
      </c>
      <c r="V292" s="145">
        <f>IF(D$6=1,0,(PI()*(C292-(0.5*D292))*(Q292)*0.1*0.01*7.85*0.001/(V$16*V$17)))</f>
        <v>0</v>
      </c>
      <c r="W292" s="128">
        <f t="shared" si="284"/>
        <v>0</v>
      </c>
      <c r="X292" t="str">
        <f t="shared" si="299"/>
        <v>267,92</v>
      </c>
      <c r="Y292" s="151">
        <f t="shared" si="300"/>
        <v>0.1332871995965478</v>
      </c>
      <c r="Z292" s="151">
        <f t="shared" si="301"/>
        <v>2.207353361992794</v>
      </c>
    </row>
    <row r="293" spans="1:26" ht="12.75">
      <c r="A293" s="141">
        <f>+'SMAW-SMAW'!A293</f>
        <v>276</v>
      </c>
      <c r="B293" s="142">
        <v>26</v>
      </c>
      <c r="C293" s="143">
        <f t="shared" si="207"/>
        <v>660.4</v>
      </c>
      <c r="D293" s="143">
        <v>9.52</v>
      </c>
      <c r="E293" s="144" t="s">
        <v>86</v>
      </c>
      <c r="F293" s="145">
        <f>IF($D$6=1,2,3)</f>
        <v>2</v>
      </c>
      <c r="G293" s="145">
        <f t="shared" si="269"/>
        <v>2</v>
      </c>
      <c r="H293" s="145">
        <f>IF(D293&lt;=19,2,3)</f>
        <v>2</v>
      </c>
      <c r="I293" s="146">
        <f>IF(D293&lt;=19,(D293-G293)*TAN($C$8*PI()/180),(19-G293)*TAN($C$8*PI()/180))</f>
        <v>5.770298949601782</v>
      </c>
      <c r="J293" s="147"/>
      <c r="K293" s="145">
        <f>IF(D293&lt;=19,0,(D293-19)*TAN($C$10*PI()/180))</f>
        <v>0</v>
      </c>
      <c r="L293" s="145">
        <f>+F293*(G293*1.5)</f>
        <v>6</v>
      </c>
      <c r="M293" s="145">
        <f>+F293*(D293-G293)</f>
        <v>15.04</v>
      </c>
      <c r="N293" s="145">
        <f>IF(D293&lt;=19,(D293-G293)*I293,(19-G293)*I293)</f>
        <v>43.39264810100539</v>
      </c>
      <c r="O293" s="145">
        <f>IF(D293&lt;=19,0,(I293*(D293-19)*2)+((K293)*(D293-19)))</f>
        <v>0</v>
      </c>
      <c r="P293" s="145">
        <f>+(5+F293+(2*(I293+K293)))*H293</f>
        <v>37.08119579840712</v>
      </c>
      <c r="Q293" s="147">
        <f>SUM(M293:P293)</f>
        <v>95.5138438994125</v>
      </c>
      <c r="R293" s="147"/>
      <c r="S293" s="128">
        <f>IF(D$6=1,(PI()*(C293-(2*D293)+(2*G293))*L293*0.1*0.01*7.85*0.001/(S$16*S$17)),0)</f>
        <v>0.13262955953439637</v>
      </c>
      <c r="T293" s="128">
        <f>IF(D$6=1,(PI()*(C293-(0.5*D293))*(Q293)*0.1*0.01*7.85*0.001/(T$16*T$17)),0)</f>
        <v>2.9699418817400365</v>
      </c>
      <c r="U293" s="145">
        <f>IF(D$6=1,0,(PI()*(C293-(2*D293)+(2*G293))*L293*0.1*0.01*7.85*0.001/(U$16*U$17)))</f>
        <v>0</v>
      </c>
      <c r="V293" s="145">
        <f>IF(D$6=1,0,(PI()*(C293-(0.5*D293))*(Q293)*0.1*0.01*7.85*0.001/(V$16*V$17)))</f>
        <v>0</v>
      </c>
      <c r="W293" s="128">
        <f t="shared" si="284"/>
        <v>0</v>
      </c>
      <c r="X293" t="str">
        <f t="shared" si="299"/>
        <v>269,52</v>
      </c>
      <c r="Y293" s="151">
        <f t="shared" si="300"/>
        <v>0.13262955953439637</v>
      </c>
      <c r="Z293" s="151">
        <f t="shared" si="301"/>
        <v>2.9699418817400365</v>
      </c>
    </row>
    <row r="294" spans="1:26" ht="12.75">
      <c r="A294" s="141">
        <f>+'SMAW-SMAW'!A294</f>
        <v>277</v>
      </c>
      <c r="B294" s="142">
        <v>26</v>
      </c>
      <c r="C294" s="143">
        <f t="shared" si="207"/>
        <v>660.4</v>
      </c>
      <c r="D294" s="143">
        <v>12.7</v>
      </c>
      <c r="E294" s="144" t="s">
        <v>92</v>
      </c>
      <c r="F294" s="145">
        <f>IF($D$6=1,2,3)</f>
        <v>2</v>
      </c>
      <c r="G294" s="145">
        <f t="shared" si="269"/>
        <v>2</v>
      </c>
      <c r="H294" s="145">
        <f>IF(D294&lt;=19,2,3)</f>
        <v>2</v>
      </c>
      <c r="I294" s="146">
        <f>IF(D294&lt;=19,(D294-G294)*TAN($C$8*PI()/180),(19-G294)*TAN($C$8*PI()/180))</f>
        <v>8.210398771374875</v>
      </c>
      <c r="J294" s="147"/>
      <c r="K294" s="145">
        <f>IF(D294&lt;=19,0,(D294-19)*TAN($C$10*PI()/180))</f>
        <v>0</v>
      </c>
      <c r="L294" s="145">
        <f>+F294*(G294*1.5)</f>
        <v>6</v>
      </c>
      <c r="M294" s="145">
        <f>+F294*(D294-G294)</f>
        <v>21.4</v>
      </c>
      <c r="N294" s="145">
        <f>IF(D294&lt;=19,(D294-G294)*I294,(19-G294)*I294)</f>
        <v>87.85126685371115</v>
      </c>
      <c r="O294" s="145">
        <f>IF(D294&lt;=19,0,(I294*(D294-19)*2)+((K294)*(D294-19)))</f>
        <v>0</v>
      </c>
      <c r="P294" s="145">
        <f>+(5+F294+(2*(I294+K294)))*H294</f>
        <v>46.8415950854995</v>
      </c>
      <c r="Q294" s="147">
        <f>SUM(M294:P294)</f>
        <v>156.09286193921065</v>
      </c>
      <c r="R294" s="147"/>
      <c r="S294" s="128">
        <f>IF(D$6=1,(PI()*(C294-(2*D294)+(2*G294))*L294*0.1*0.01*7.85*0.001/(S$16*S$17)),0)</f>
        <v>0.13132249991087033</v>
      </c>
      <c r="T294" s="128">
        <f>IF(D$6=1,(PI()*(C294-(0.5*D294))*(Q294)*0.1*0.01*7.85*0.001/(T$16*T$17)),0)</f>
        <v>4.841837159949248</v>
      </c>
      <c r="U294" s="145">
        <f>IF(D$6=1,0,(PI()*(C294-(2*D294)+(2*G294))*L294*0.1*0.01*7.85*0.001/(U$16*U$17)))</f>
        <v>0</v>
      </c>
      <c r="V294" s="145">
        <f>IF(D$6=1,0,(PI()*(C294-(0.5*D294))*(Q294)*0.1*0.01*7.85*0.001/(V$16*V$17)))</f>
        <v>0</v>
      </c>
      <c r="W294" s="128">
        <f t="shared" si="284"/>
        <v>0</v>
      </c>
      <c r="X294" t="str">
        <f t="shared" si="299"/>
        <v>2612,7</v>
      </c>
      <c r="Y294" s="151">
        <f t="shared" si="300"/>
        <v>0.13132249991087033</v>
      </c>
      <c r="Z294" s="151">
        <f t="shared" si="301"/>
        <v>4.841837159949248</v>
      </c>
    </row>
    <row r="295" spans="1:26" ht="12.75">
      <c r="A295" s="141">
        <f>+'SMAW-SMAW'!A295</f>
        <v>278</v>
      </c>
      <c r="B295" s="142">
        <v>26</v>
      </c>
      <c r="C295" s="143">
        <f t="shared" si="207"/>
        <v>660.4</v>
      </c>
      <c r="D295" s="143">
        <v>12.7</v>
      </c>
      <c r="E295" s="144" t="s">
        <v>82</v>
      </c>
      <c r="F295" s="145">
        <f>IF($D$6=1,2,3)</f>
        <v>2</v>
      </c>
      <c r="G295" s="145">
        <f t="shared" si="269"/>
        <v>2</v>
      </c>
      <c r="H295" s="145">
        <f>IF(D295&lt;=19,2,3)</f>
        <v>2</v>
      </c>
      <c r="I295" s="146">
        <f>IF(D295&lt;=19,(D295-G295)*TAN($C$8*PI()/180),(19-G295)*TAN($C$8*PI()/180))</f>
        <v>8.210398771374875</v>
      </c>
      <c r="J295" s="147"/>
      <c r="K295" s="145">
        <f>IF(D295&lt;=19,0,(D295-19)*TAN($C$10*PI()/180))</f>
        <v>0</v>
      </c>
      <c r="L295" s="145">
        <f>+F295*(G295*1.5)</f>
        <v>6</v>
      </c>
      <c r="M295" s="145">
        <f>+F295*(D295-G295)</f>
        <v>21.4</v>
      </c>
      <c r="N295" s="145">
        <f>IF(D295&lt;=19,(D295-G295)*I295,(19-G295)*I295)</f>
        <v>87.85126685371115</v>
      </c>
      <c r="O295" s="145">
        <f>IF(D295&lt;=19,0,(I295*(D295-19)*2)+((K295)*(D295-19)))</f>
        <v>0</v>
      </c>
      <c r="P295" s="145">
        <f>+(5+F295+(2*(I295+K295)))*H295</f>
        <v>46.8415950854995</v>
      </c>
      <c r="Q295" s="147">
        <f>SUM(M295:P295)</f>
        <v>156.09286193921065</v>
      </c>
      <c r="R295" s="147"/>
      <c r="S295" s="128">
        <f>IF(D$6=1,(PI()*(C295-(2*D295)+(2*G295))*L295*0.1*0.01*7.85*0.001/(S$16*S$17)),0)</f>
        <v>0.13132249991087033</v>
      </c>
      <c r="T295" s="128">
        <f>IF(D$6=1,(PI()*(C295-(0.5*D295))*(Q295)*0.1*0.01*7.85*0.001/(T$16*T$17)),0)</f>
        <v>4.841837159949248</v>
      </c>
      <c r="U295" s="145">
        <f>IF(D$6=1,0,(PI()*(C295-(2*D295)+(2*G295))*L295*0.1*0.01*7.85*0.001/(U$16*U$17)))</f>
        <v>0</v>
      </c>
      <c r="V295" s="145">
        <f>IF(D$6=1,0,(PI()*(C295-(0.5*D295))*(Q295)*0.1*0.01*7.85*0.001/(V$16*V$17)))</f>
        <v>0</v>
      </c>
      <c r="W295" s="128">
        <f t="shared" si="284"/>
        <v>0</v>
      </c>
      <c r="X295" t="str">
        <f t="shared" si="299"/>
        <v>2612,7</v>
      </c>
      <c r="Y295" s="151">
        <f t="shared" si="300"/>
        <v>0.13132249991087033</v>
      </c>
      <c r="Z295" s="151">
        <f t="shared" si="301"/>
        <v>4.841837159949248</v>
      </c>
    </row>
    <row r="296" spans="1:26" ht="12.75">
      <c r="A296" s="141">
        <f>+'SMAW-SMAW'!A296</f>
        <v>279</v>
      </c>
      <c r="B296" s="142"/>
      <c r="C296" s="143"/>
      <c r="D296" s="143"/>
      <c r="E296" s="144"/>
      <c r="F296" s="145"/>
      <c r="G296" s="145">
        <f t="shared" si="269"/>
        <v>0</v>
      </c>
      <c r="H296" s="145"/>
      <c r="I296" s="146"/>
      <c r="J296" s="147"/>
      <c r="K296" s="145"/>
      <c r="L296" s="145"/>
      <c r="M296" s="145"/>
      <c r="N296" s="145"/>
      <c r="O296" s="145"/>
      <c r="P296" s="145"/>
      <c r="Q296" s="147"/>
      <c r="R296" s="147"/>
      <c r="S296" s="128"/>
      <c r="T296" s="128"/>
      <c r="U296" s="145"/>
      <c r="V296" s="145"/>
      <c r="W296" s="128">
        <f t="shared" si="284"/>
        <v>0</v>
      </c>
      <c r="X296">
        <f t="shared" si="299"/>
      </c>
      <c r="Y296" s="151">
        <f t="shared" si="300"/>
        <v>0</v>
      </c>
      <c r="Z296" s="151">
        <f t="shared" si="301"/>
        <v>0</v>
      </c>
    </row>
    <row r="297" spans="1:26" ht="12.75">
      <c r="A297" s="141">
        <f>+'SMAW-SMAW'!A297</f>
        <v>280</v>
      </c>
      <c r="B297" s="142">
        <v>28</v>
      </c>
      <c r="C297" s="143">
        <f t="shared" si="207"/>
        <v>711.1999999999999</v>
      </c>
      <c r="D297" s="143">
        <v>7.92</v>
      </c>
      <c r="E297" s="144" t="s">
        <v>97</v>
      </c>
      <c r="F297" s="145">
        <f>IF($D$6=1,2,3)</f>
        <v>2</v>
      </c>
      <c r="G297" s="145">
        <f t="shared" si="269"/>
        <v>2</v>
      </c>
      <c r="H297" s="145">
        <f>IF(D297&lt;=19,2,3)</f>
        <v>2</v>
      </c>
      <c r="I297" s="146">
        <f>IF(D297&lt;=19,(D297-G297)*TAN($C$8*PI()/180),(19-G297)*TAN($C$8*PI()/180))</f>
        <v>4.542575768835445</v>
      </c>
      <c r="J297" s="147"/>
      <c r="K297" s="145">
        <f>IF(D297&lt;=19,0,(D297-19)*TAN($C$10*PI()/180))</f>
        <v>0</v>
      </c>
      <c r="L297" s="145">
        <f>+F297*(G297*1.5)</f>
        <v>6</v>
      </c>
      <c r="M297" s="145">
        <f>+F297*(D297-G297)</f>
        <v>11.84</v>
      </c>
      <c r="N297" s="145">
        <f>IF(D297&lt;=19,(D297-G297)*I297,(19-G297)*I297)</f>
        <v>26.892048551505837</v>
      </c>
      <c r="O297" s="145">
        <f>IF(D297&lt;=19,0,(I297*(D297-19)*2)+((K297)*(D297-19)))</f>
        <v>0</v>
      </c>
      <c r="P297" s="145">
        <f>+(5+F297+(2*(I297+K297)))*H297</f>
        <v>32.17030307534178</v>
      </c>
      <c r="Q297" s="147">
        <f>SUM(M297:P297)</f>
        <v>70.90235162684762</v>
      </c>
      <c r="R297" s="147"/>
      <c r="S297" s="128">
        <f>IF(D$6=1,(PI()*(C297-(2*D297)+(2*G297))*L297*0.1*0.01*7.85*0.001/(S$16*S$17)),0)</f>
        <v>0.1437272355832023</v>
      </c>
      <c r="T297" s="128">
        <f>IF(D$6=1,(PI()*(C297-(0.5*D297))*(Q297)*0.1*0.01*7.85*0.001/(T$16*T$17)),0)</f>
        <v>2.378174077959575</v>
      </c>
      <c r="U297" s="145">
        <f>IF(D$6=1,0,(PI()*(C297-(2*D297)+(2*G297))*L297*0.1*0.01*7.85*0.001/(U$16*U$17)))</f>
        <v>0</v>
      </c>
      <c r="V297" s="145">
        <f>IF(D$6=1,0,(PI()*(C297-(0.5*D297))*(Q297)*0.1*0.01*7.85*0.001/(V$16*V$17)))</f>
        <v>0</v>
      </c>
      <c r="W297" s="128">
        <f t="shared" si="284"/>
        <v>0</v>
      </c>
      <c r="X297" t="str">
        <f t="shared" si="299"/>
        <v>287,92</v>
      </c>
      <c r="Y297" s="151">
        <f t="shared" si="300"/>
        <v>0.1437272355832023</v>
      </c>
      <c r="Z297" s="151">
        <f t="shared" si="301"/>
        <v>2.378174077959575</v>
      </c>
    </row>
    <row r="298" spans="1:26" ht="12.75">
      <c r="A298" s="141">
        <f>+'SMAW-SMAW'!A298</f>
        <v>281</v>
      </c>
      <c r="B298" s="142">
        <v>28</v>
      </c>
      <c r="C298" s="143">
        <f t="shared" si="207"/>
        <v>711.1999999999999</v>
      </c>
      <c r="D298" s="143">
        <v>9.52</v>
      </c>
      <c r="E298" s="144" t="s">
        <v>86</v>
      </c>
      <c r="F298" s="145">
        <f>IF($D$6=1,2,3)</f>
        <v>2</v>
      </c>
      <c r="G298" s="145">
        <f t="shared" si="269"/>
        <v>2</v>
      </c>
      <c r="H298" s="145">
        <f>IF(D298&lt;=19,2,3)</f>
        <v>2</v>
      </c>
      <c r="I298" s="146">
        <f>IF(D298&lt;=19,(D298-G298)*TAN($C$8*PI()/180),(19-G298)*TAN($C$8*PI()/180))</f>
        <v>5.770298949601782</v>
      </c>
      <c r="J298" s="147"/>
      <c r="K298" s="145">
        <f>IF(D298&lt;=19,0,(D298-19)*TAN($C$10*PI()/180))</f>
        <v>0</v>
      </c>
      <c r="L298" s="145">
        <f>+F298*(G298*1.5)</f>
        <v>6</v>
      </c>
      <c r="M298" s="145">
        <f>+F298*(D298-G298)</f>
        <v>15.04</v>
      </c>
      <c r="N298" s="145">
        <f>IF(D298&lt;=19,(D298-G298)*I298,(19-G298)*I298)</f>
        <v>43.39264810100539</v>
      </c>
      <c r="O298" s="145">
        <f>IF(D298&lt;=19,0,(I298*(D298-19)*2)+((K298)*(D298-19)))</f>
        <v>0</v>
      </c>
      <c r="P298" s="145">
        <f>+(5+F298+(2*(I298+K298)))*H298</f>
        <v>37.08119579840712</v>
      </c>
      <c r="Q298" s="147">
        <f>SUM(M298:P298)</f>
        <v>95.5138438994125</v>
      </c>
      <c r="R298" s="147"/>
      <c r="S298" s="128">
        <f>IF(D$6=1,(PI()*(C298-(2*D298)+(2*G298))*L298*0.1*0.01*7.85*0.001/(S$16*S$17)),0)</f>
        <v>0.14306959552105086</v>
      </c>
      <c r="T298" s="128">
        <f>IF(D$6=1,(PI()*(C298-(0.5*D298))*(Q298)*0.1*0.01*7.85*0.001/(T$16*T$17)),0)</f>
        <v>3.2000575665554734</v>
      </c>
      <c r="U298" s="145">
        <f>IF(D$6=1,0,(PI()*(C298-(2*D298)+(2*G298))*L298*0.1*0.01*7.85*0.001/(U$16*U$17)))</f>
        <v>0</v>
      </c>
      <c r="V298" s="145">
        <f>IF(D$6=1,0,(PI()*(C298-(0.5*D298))*(Q298)*0.1*0.01*7.85*0.001/(V$16*V$17)))</f>
        <v>0</v>
      </c>
      <c r="W298" s="128">
        <f t="shared" si="284"/>
        <v>0</v>
      </c>
      <c r="X298" t="str">
        <f t="shared" si="299"/>
        <v>289,52</v>
      </c>
      <c r="Y298" s="151">
        <f t="shared" si="300"/>
        <v>0.14306959552105086</v>
      </c>
      <c r="Z298" s="151">
        <f t="shared" si="301"/>
        <v>3.2000575665554734</v>
      </c>
    </row>
    <row r="299" spans="1:26" ht="12.75">
      <c r="A299" s="141">
        <f>+'SMAW-SMAW'!A299</f>
        <v>282</v>
      </c>
      <c r="B299" s="142">
        <v>28</v>
      </c>
      <c r="C299" s="143">
        <f t="shared" si="207"/>
        <v>711.1999999999999</v>
      </c>
      <c r="D299" s="143">
        <v>12.7</v>
      </c>
      <c r="E299" s="144" t="s">
        <v>92</v>
      </c>
      <c r="F299" s="145">
        <f>IF($D$6=1,2,3)</f>
        <v>2</v>
      </c>
      <c r="G299" s="145">
        <f t="shared" si="269"/>
        <v>2</v>
      </c>
      <c r="H299" s="145">
        <f>IF(D299&lt;=19,2,3)</f>
        <v>2</v>
      </c>
      <c r="I299" s="146">
        <f>IF(D299&lt;=19,(D299-G299)*TAN($C$8*PI()/180),(19-G299)*TAN($C$8*PI()/180))</f>
        <v>8.210398771374875</v>
      </c>
      <c r="J299" s="147"/>
      <c r="K299" s="145">
        <f>IF(D299&lt;=19,0,(D299-19)*TAN($C$10*PI()/180))</f>
        <v>0</v>
      </c>
      <c r="L299" s="145">
        <f>+F299*(G299*1.5)</f>
        <v>6</v>
      </c>
      <c r="M299" s="145">
        <f>+F299*(D299-G299)</f>
        <v>21.4</v>
      </c>
      <c r="N299" s="145">
        <f>IF(D299&lt;=19,(D299-G299)*I299,(19-G299)*I299)</f>
        <v>87.85126685371115</v>
      </c>
      <c r="O299" s="145">
        <f>IF(D299&lt;=19,0,(I299*(D299-19)*2)+((K299)*(D299-19)))</f>
        <v>0</v>
      </c>
      <c r="P299" s="145">
        <f>+(5+F299+(2*(I299+K299)))*H299</f>
        <v>46.8415950854995</v>
      </c>
      <c r="Q299" s="147">
        <f>SUM(M299:P299)</f>
        <v>156.09286193921065</v>
      </c>
      <c r="R299" s="147"/>
      <c r="S299" s="128">
        <f>IF(D$6=1,(PI()*(C299-(2*D299)+(2*G299))*L299*0.1*0.01*7.85*0.001/(S$16*S$17)),0)</f>
        <v>0.14176253589752477</v>
      </c>
      <c r="T299" s="128">
        <f>IF(D$6=1,(PI()*(C299-(0.5*D299))*(Q299)*0.1*0.01*7.85*0.001/(T$16*T$17)),0)</f>
        <v>5.217902182081229</v>
      </c>
      <c r="U299" s="145">
        <f>IF(D$6=1,0,(PI()*(C299-(2*D299)+(2*G299))*L299*0.1*0.01*7.85*0.001/(U$16*U$17)))</f>
        <v>0</v>
      </c>
      <c r="V299" s="145">
        <f>IF(D$6=1,0,(PI()*(C299-(0.5*D299))*(Q299)*0.1*0.01*7.85*0.001/(V$16*V$17)))</f>
        <v>0</v>
      </c>
      <c r="W299" s="128">
        <f t="shared" si="284"/>
        <v>0</v>
      </c>
      <c r="X299" t="str">
        <f t="shared" si="299"/>
        <v>2812,7</v>
      </c>
      <c r="Y299" s="151">
        <f t="shared" si="300"/>
        <v>0.14176253589752477</v>
      </c>
      <c r="Z299" s="151">
        <f t="shared" si="301"/>
        <v>5.217902182081229</v>
      </c>
    </row>
    <row r="300" spans="1:26" ht="12.75">
      <c r="A300" s="141">
        <f>+'SMAW-SMAW'!A300</f>
        <v>283</v>
      </c>
      <c r="B300" s="142">
        <v>28</v>
      </c>
      <c r="C300" s="143">
        <f t="shared" si="207"/>
        <v>711.1999999999999</v>
      </c>
      <c r="D300" s="143">
        <v>12.7</v>
      </c>
      <c r="E300" s="144" t="s">
        <v>82</v>
      </c>
      <c r="F300" s="145">
        <f>IF($D$6=1,2,3)</f>
        <v>2</v>
      </c>
      <c r="G300" s="145">
        <f t="shared" si="269"/>
        <v>2</v>
      </c>
      <c r="H300" s="145">
        <f>IF(D300&lt;=19,2,3)</f>
        <v>2</v>
      </c>
      <c r="I300" s="146">
        <f>IF(D300&lt;=19,(D300-G300)*TAN($C$8*PI()/180),(19-G300)*TAN($C$8*PI()/180))</f>
        <v>8.210398771374875</v>
      </c>
      <c r="J300" s="147"/>
      <c r="K300" s="145">
        <f>IF(D300&lt;=19,0,(D300-19)*TAN($C$10*PI()/180))</f>
        <v>0</v>
      </c>
      <c r="L300" s="145">
        <f>+F300*(G300*1.5)</f>
        <v>6</v>
      </c>
      <c r="M300" s="145">
        <f>+F300*(D300-G300)</f>
        <v>21.4</v>
      </c>
      <c r="N300" s="145">
        <f>IF(D300&lt;=19,(D300-G300)*I300,(19-G300)*I300)</f>
        <v>87.85126685371115</v>
      </c>
      <c r="O300" s="145">
        <f>IF(D300&lt;=19,0,(I300*(D300-19)*2)+((K300)*(D300-19)))</f>
        <v>0</v>
      </c>
      <c r="P300" s="145">
        <f>+(5+F300+(2*(I300+K300)))*H300</f>
        <v>46.8415950854995</v>
      </c>
      <c r="Q300" s="147">
        <f>SUM(M300:P300)</f>
        <v>156.09286193921065</v>
      </c>
      <c r="R300" s="147"/>
      <c r="S300" s="128">
        <f>IF(D$6=1,(PI()*(C300-(2*D300)+(2*G300))*L300*0.1*0.01*7.85*0.001/(S$16*S$17)),0)</f>
        <v>0.14176253589752477</v>
      </c>
      <c r="T300" s="128">
        <f>IF(D$6=1,(PI()*(C300-(0.5*D300))*(Q300)*0.1*0.01*7.85*0.001/(T$16*T$17)),0)</f>
        <v>5.217902182081229</v>
      </c>
      <c r="U300" s="145">
        <f>IF(D$6=1,0,(PI()*(C300-(2*D300)+(2*G300))*L300*0.1*0.01*7.85*0.001/(U$16*U$17)))</f>
        <v>0</v>
      </c>
      <c r="V300" s="145">
        <f>IF(D$6=1,0,(PI()*(C300-(0.5*D300))*(Q300)*0.1*0.01*7.85*0.001/(V$16*V$17)))</f>
        <v>0</v>
      </c>
      <c r="W300" s="128">
        <f t="shared" si="284"/>
        <v>0</v>
      </c>
      <c r="X300" t="str">
        <f t="shared" si="299"/>
        <v>2812,7</v>
      </c>
      <c r="Y300" s="151">
        <f t="shared" si="300"/>
        <v>0.14176253589752477</v>
      </c>
      <c r="Z300" s="151">
        <f t="shared" si="301"/>
        <v>5.217902182081229</v>
      </c>
    </row>
    <row r="301" spans="1:26" ht="12.75">
      <c r="A301" s="141">
        <f>+'SMAW-SMAW'!A301</f>
        <v>284</v>
      </c>
      <c r="B301" s="142">
        <v>28</v>
      </c>
      <c r="C301" s="143">
        <f t="shared" si="207"/>
        <v>711.1999999999999</v>
      </c>
      <c r="D301" s="143">
        <v>15.88</v>
      </c>
      <c r="E301" s="144" t="s">
        <v>93</v>
      </c>
      <c r="F301" s="145">
        <f>IF($D$6=1,2,3)</f>
        <v>2</v>
      </c>
      <c r="G301" s="145">
        <f aca="true" t="shared" si="302" ref="G301:G323">IF(D301&lt;2,D301,2)</f>
        <v>2</v>
      </c>
      <c r="H301" s="145">
        <f>IF(D301&lt;=19,2,3)</f>
        <v>2</v>
      </c>
      <c r="I301" s="146">
        <f>IF(D301&lt;=19,(D301-G301)*TAN($C$8*PI()/180),(19-G301)*TAN($C$8*PI()/180))</f>
        <v>10.65049859314797</v>
      </c>
      <c r="J301" s="147"/>
      <c r="K301" s="145">
        <f>IF(D301&lt;=19,0,(D301-19)*TAN($C$10*PI()/180))</f>
        <v>0</v>
      </c>
      <c r="L301" s="145">
        <f>+F301*(G301*1.5)</f>
        <v>6</v>
      </c>
      <c r="M301" s="145">
        <f>+F301*(D301-G301)</f>
        <v>27.76</v>
      </c>
      <c r="N301" s="145">
        <f>IF(D301&lt;=19,(D301-G301)*I301,(19-G301)*I301)</f>
        <v>147.82892047289383</v>
      </c>
      <c r="O301" s="145">
        <f>IF(D301&lt;=19,0,(I301*(D301-19)*2)+((K301)*(D301-19)))</f>
        <v>0</v>
      </c>
      <c r="P301" s="145">
        <f>+(5+F301+(2*(I301+K301)))*H301</f>
        <v>56.60199437259188</v>
      </c>
      <c r="Q301" s="147">
        <f>SUM(M301:P301)</f>
        <v>232.1909148454857</v>
      </c>
      <c r="R301" s="147"/>
      <c r="S301" s="128">
        <f>IF(D$6=1,(PI()*(C301-(2*D301)+(2*G301))*L301*0.1*0.01*7.85*0.001/(S$16*S$17)),0)</f>
        <v>0.14045547627399876</v>
      </c>
      <c r="T301" s="128">
        <f>IF(D$6=1,(PI()*(C301-(0.5*D301))*(Q301)*0.1*0.01*7.85*0.001/(T$16*T$17)),0)</f>
        <v>7.744213630124812</v>
      </c>
      <c r="U301" s="145">
        <f>IF(D$6=1,0,(PI()*(C301-(2*D301)+(2*G301))*L301*0.1*0.01*7.85*0.001/(U$16*U$17)))</f>
        <v>0</v>
      </c>
      <c r="V301" s="145">
        <f>IF(D$6=1,0,(PI()*(C301-(0.5*D301))*(Q301)*0.1*0.01*7.85*0.001/(V$16*V$17)))</f>
        <v>0</v>
      </c>
      <c r="W301" s="128">
        <f t="shared" si="284"/>
        <v>0</v>
      </c>
      <c r="X301" t="str">
        <f t="shared" si="299"/>
        <v>2815,88</v>
      </c>
      <c r="Y301" s="151">
        <f t="shared" si="300"/>
        <v>0.14045547627399876</v>
      </c>
      <c r="Z301" s="151">
        <f t="shared" si="301"/>
        <v>7.744213630124812</v>
      </c>
    </row>
    <row r="302" spans="1:26" ht="12.75">
      <c r="A302" s="141">
        <f>+'SMAW-SMAW'!A302</f>
        <v>285</v>
      </c>
      <c r="B302" s="142"/>
      <c r="C302" s="143"/>
      <c r="D302" s="143"/>
      <c r="E302" s="144"/>
      <c r="F302" s="145"/>
      <c r="G302" s="145">
        <f t="shared" si="302"/>
        <v>0</v>
      </c>
      <c r="H302" s="145"/>
      <c r="I302" s="146"/>
      <c r="J302" s="147"/>
      <c r="K302" s="145"/>
      <c r="L302" s="145"/>
      <c r="M302" s="145"/>
      <c r="N302" s="145"/>
      <c r="O302" s="145"/>
      <c r="P302" s="145"/>
      <c r="Q302" s="147"/>
      <c r="R302" s="147"/>
      <c r="S302" s="128"/>
      <c r="T302" s="128"/>
      <c r="U302" s="145"/>
      <c r="V302" s="145"/>
      <c r="W302" s="128">
        <f t="shared" si="284"/>
        <v>0</v>
      </c>
      <c r="X302">
        <f t="shared" si="299"/>
      </c>
      <c r="Y302" s="151">
        <f t="shared" si="300"/>
        <v>0</v>
      </c>
      <c r="Z302" s="151">
        <f t="shared" si="301"/>
        <v>0</v>
      </c>
    </row>
    <row r="303" spans="1:26" ht="12.75">
      <c r="A303" s="141">
        <f>+'SMAW-SMAW'!A303</f>
        <v>286</v>
      </c>
      <c r="B303" s="142">
        <v>30</v>
      </c>
      <c r="C303" s="143">
        <f t="shared" si="207"/>
        <v>762</v>
      </c>
      <c r="D303" s="143">
        <v>6.35</v>
      </c>
      <c r="E303" s="144" t="s">
        <v>81</v>
      </c>
      <c r="F303" s="145">
        <f t="shared" si="0"/>
        <v>2</v>
      </c>
      <c r="G303" s="145">
        <f t="shared" si="302"/>
        <v>2</v>
      </c>
      <c r="H303" s="145">
        <f>IF(D303&lt;=19,2,3)</f>
        <v>2</v>
      </c>
      <c r="I303" s="146">
        <f>IF(D303&lt;=19,(D303-G303)*TAN($C$8*PI()/180),(19-G303)*TAN($C$8*PI()/180))</f>
        <v>3.337872397708477</v>
      </c>
      <c r="J303" s="147"/>
      <c r="K303" s="145">
        <f>IF(D303&lt;=19,0,(D303-19)*TAN($C$10*PI()/180))</f>
        <v>0</v>
      </c>
      <c r="L303" s="145">
        <f>+F303*(G303*1.5)</f>
        <v>6</v>
      </c>
      <c r="M303" s="145">
        <f>+F303*(D303-G303)</f>
        <v>8.7</v>
      </c>
      <c r="N303" s="145">
        <f>IF(D303&lt;=19,(D303-G303)*I303,(19-G303)*I303)</f>
        <v>14.519744930031875</v>
      </c>
      <c r="O303" s="145">
        <f>IF(D303&lt;=19,0,(I303*(D303-19)*2)+((K303)*(D303-19)))</f>
        <v>0</v>
      </c>
      <c r="P303" s="145">
        <f>+(5+F303+(2*(I303+K303)))*H303</f>
        <v>27.351489590833907</v>
      </c>
      <c r="Q303" s="147">
        <f>SUM(M303:P303)</f>
        <v>50.57123452086578</v>
      </c>
      <c r="R303" s="147"/>
      <c r="S303" s="128">
        <f>IF(D$6=1,(PI()*(C303-(2*D303)+(2*G303))*L303*0.1*0.01*7.85*0.001/(S$16*S$17)),0)</f>
        <v>0.1548125808808429</v>
      </c>
      <c r="T303" s="128">
        <f>IF(D$6=1,(PI()*(C303-(0.5*D303))*(Q303)*0.1*0.01*7.85*0.001/(T$16*T$17)),0)</f>
        <v>1.8199580261637165</v>
      </c>
      <c r="U303" s="145">
        <f>IF(D$6=1,0,(PI()*(C303-(2*D303)+(2*G303))*L303*0.1*0.01*7.85*0.001/(U$16*U$17)))</f>
        <v>0</v>
      </c>
      <c r="V303" s="145">
        <f>IF(D$6=1,0,(PI()*(C303-(0.5*D303))*(Q303)*0.1*0.01*7.85*0.001/(V$16*V$17)))</f>
        <v>0</v>
      </c>
      <c r="W303" s="128">
        <f t="shared" si="284"/>
        <v>0</v>
      </c>
      <c r="X303" t="str">
        <f t="shared" si="299"/>
        <v>306,35</v>
      </c>
      <c r="Y303" s="151">
        <f t="shared" si="300"/>
        <v>0.1548125808808429</v>
      </c>
      <c r="Z303" s="151">
        <f t="shared" si="301"/>
        <v>1.8199580261637165</v>
      </c>
    </row>
    <row r="304" spans="1:26" ht="12.75">
      <c r="A304" s="141">
        <f>+'SMAW-SMAW'!A304</f>
        <v>287</v>
      </c>
      <c r="B304" s="142">
        <v>30</v>
      </c>
      <c r="C304" s="143">
        <f t="shared" si="207"/>
        <v>762</v>
      </c>
      <c r="D304" s="143">
        <v>7.92</v>
      </c>
      <c r="E304" s="144" t="s">
        <v>84</v>
      </c>
      <c r="F304" s="145">
        <f aca="true" t="shared" si="303" ref="F304:F309">IF($D$6=1,2,3)</f>
        <v>2</v>
      </c>
      <c r="G304" s="145">
        <f t="shared" si="302"/>
        <v>2</v>
      </c>
      <c r="H304" s="145">
        <f aca="true" t="shared" si="304" ref="H304:H309">IF(D304&lt;=19,2,3)</f>
        <v>2</v>
      </c>
      <c r="I304" s="146">
        <f aca="true" t="shared" si="305" ref="I304:I309">IF(D304&lt;=19,(D304-G304)*TAN($C$8*PI()/180),(19-G304)*TAN($C$8*PI()/180))</f>
        <v>4.542575768835445</v>
      </c>
      <c r="J304" s="147"/>
      <c r="K304" s="145">
        <f aca="true" t="shared" si="306" ref="K304:K309">IF(D304&lt;=19,0,(D304-19)*TAN($C$10*PI()/180))</f>
        <v>0</v>
      </c>
      <c r="L304" s="145">
        <f aca="true" t="shared" si="307" ref="L304:L309">+F304*(G304*1.5)</f>
        <v>6</v>
      </c>
      <c r="M304" s="145">
        <f aca="true" t="shared" si="308" ref="M304:M309">+F304*(D304-G304)</f>
        <v>11.84</v>
      </c>
      <c r="N304" s="145">
        <f aca="true" t="shared" si="309" ref="N304:N309">IF(D304&lt;=19,(D304-G304)*I304,(19-G304)*I304)</f>
        <v>26.892048551505837</v>
      </c>
      <c r="O304" s="145">
        <f aca="true" t="shared" si="310" ref="O304:O309">IF(D304&lt;=19,0,(I304*(D304-19)*2)+((K304)*(D304-19)))</f>
        <v>0</v>
      </c>
      <c r="P304" s="145">
        <f aca="true" t="shared" si="311" ref="P304:P309">+(5+F304+(2*(I304+K304)))*H304</f>
        <v>32.17030307534178</v>
      </c>
      <c r="Q304" s="147">
        <f aca="true" t="shared" si="312" ref="Q304:Q309">SUM(M304:P304)</f>
        <v>70.90235162684762</v>
      </c>
      <c r="R304" s="147"/>
      <c r="S304" s="128">
        <f aca="true" t="shared" si="313" ref="S304:S309">IF(D$6=1,(PI()*(C304-(2*D304)+(2*G304))*L304*0.1*0.01*7.85*0.001/(S$16*S$17)),0)</f>
        <v>0.1541672715698568</v>
      </c>
      <c r="T304" s="128">
        <f aca="true" t="shared" si="314" ref="T304:T309">IF(D$6=1,(PI()*(C304-(0.5*D304))*(Q304)*0.1*0.01*7.85*0.001/(T$16*T$17)),0)</f>
        <v>2.548994793926356</v>
      </c>
      <c r="U304" s="145">
        <f aca="true" t="shared" si="315" ref="U304:U309">IF(D$6=1,0,(PI()*(C304-(2*D304)+(2*G304))*L304*0.1*0.01*7.85*0.001/(U$16*U$17)))</f>
        <v>0</v>
      </c>
      <c r="V304" s="145">
        <f aca="true" t="shared" si="316" ref="V304:V309">IF(D$6=1,0,(PI()*(C304-(0.5*D304))*(Q304)*0.1*0.01*7.85*0.001/(V$16*V$17)))</f>
        <v>0</v>
      </c>
      <c r="W304" s="128">
        <f t="shared" si="284"/>
        <v>0</v>
      </c>
      <c r="X304" t="str">
        <f t="shared" si="299"/>
        <v>307,92</v>
      </c>
      <c r="Y304" s="151">
        <f t="shared" si="300"/>
        <v>0.1541672715698568</v>
      </c>
      <c r="Z304" s="151">
        <f t="shared" si="301"/>
        <v>2.548994793926356</v>
      </c>
    </row>
    <row r="305" spans="1:26" ht="12.75">
      <c r="A305" s="141">
        <f>+'SMAW-SMAW'!A305</f>
        <v>288</v>
      </c>
      <c r="B305" s="142">
        <v>30</v>
      </c>
      <c r="C305" s="143">
        <f t="shared" si="207"/>
        <v>762</v>
      </c>
      <c r="D305" s="143">
        <v>7.92</v>
      </c>
      <c r="E305" s="144" t="s">
        <v>97</v>
      </c>
      <c r="F305" s="145">
        <f t="shared" si="303"/>
        <v>2</v>
      </c>
      <c r="G305" s="145">
        <f t="shared" si="302"/>
        <v>2</v>
      </c>
      <c r="H305" s="145">
        <f t="shared" si="304"/>
        <v>2</v>
      </c>
      <c r="I305" s="146">
        <f t="shared" si="305"/>
        <v>4.542575768835445</v>
      </c>
      <c r="J305" s="147"/>
      <c r="K305" s="145">
        <f t="shared" si="306"/>
        <v>0</v>
      </c>
      <c r="L305" s="145">
        <f t="shared" si="307"/>
        <v>6</v>
      </c>
      <c r="M305" s="145">
        <f t="shared" si="308"/>
        <v>11.84</v>
      </c>
      <c r="N305" s="145">
        <f t="shared" si="309"/>
        <v>26.892048551505837</v>
      </c>
      <c r="O305" s="145">
        <f t="shared" si="310"/>
        <v>0</v>
      </c>
      <c r="P305" s="145">
        <f t="shared" si="311"/>
        <v>32.17030307534178</v>
      </c>
      <c r="Q305" s="147">
        <f t="shared" si="312"/>
        <v>70.90235162684762</v>
      </c>
      <c r="R305" s="147"/>
      <c r="S305" s="128">
        <f t="shared" si="313"/>
        <v>0.1541672715698568</v>
      </c>
      <c r="T305" s="128">
        <f t="shared" si="314"/>
        <v>2.548994793926356</v>
      </c>
      <c r="U305" s="145">
        <f t="shared" si="315"/>
        <v>0</v>
      </c>
      <c r="V305" s="145">
        <f t="shared" si="316"/>
        <v>0</v>
      </c>
      <c r="W305" s="128">
        <f t="shared" si="284"/>
        <v>0</v>
      </c>
      <c r="X305" t="str">
        <f t="shared" si="299"/>
        <v>307,92</v>
      </c>
      <c r="Y305" s="151">
        <f t="shared" si="300"/>
        <v>0.1541672715698568</v>
      </c>
      <c r="Z305" s="151">
        <f t="shared" si="301"/>
        <v>2.548994793926356</v>
      </c>
    </row>
    <row r="306" spans="1:26" ht="12.75">
      <c r="A306" s="141">
        <f>+'SMAW-SMAW'!A306</f>
        <v>289</v>
      </c>
      <c r="B306" s="142">
        <v>30</v>
      </c>
      <c r="C306" s="143">
        <f t="shared" si="207"/>
        <v>762</v>
      </c>
      <c r="D306" s="143">
        <v>9.52</v>
      </c>
      <c r="E306" s="144" t="s">
        <v>86</v>
      </c>
      <c r="F306" s="145">
        <f t="shared" si="303"/>
        <v>2</v>
      </c>
      <c r="G306" s="145">
        <f t="shared" si="302"/>
        <v>2</v>
      </c>
      <c r="H306" s="145">
        <f t="shared" si="304"/>
        <v>2</v>
      </c>
      <c r="I306" s="146">
        <f t="shared" si="305"/>
        <v>5.770298949601782</v>
      </c>
      <c r="J306" s="147"/>
      <c r="K306" s="145">
        <f t="shared" si="306"/>
        <v>0</v>
      </c>
      <c r="L306" s="145">
        <f t="shared" si="307"/>
        <v>6</v>
      </c>
      <c r="M306" s="145">
        <f t="shared" si="308"/>
        <v>15.04</v>
      </c>
      <c r="N306" s="145">
        <f t="shared" si="309"/>
        <v>43.39264810100539</v>
      </c>
      <c r="O306" s="145">
        <f t="shared" si="310"/>
        <v>0</v>
      </c>
      <c r="P306" s="145">
        <f t="shared" si="311"/>
        <v>37.08119579840712</v>
      </c>
      <c r="Q306" s="147">
        <f t="shared" si="312"/>
        <v>95.5138438994125</v>
      </c>
      <c r="R306" s="147"/>
      <c r="S306" s="128">
        <f t="shared" si="313"/>
        <v>0.15350963150770536</v>
      </c>
      <c r="T306" s="128">
        <f t="shared" si="314"/>
        <v>3.4301732513709124</v>
      </c>
      <c r="U306" s="145">
        <f t="shared" si="315"/>
        <v>0</v>
      </c>
      <c r="V306" s="145">
        <f t="shared" si="316"/>
        <v>0</v>
      </c>
      <c r="W306" s="128">
        <f t="shared" si="284"/>
        <v>0</v>
      </c>
      <c r="X306" t="str">
        <f t="shared" si="299"/>
        <v>309,52</v>
      </c>
      <c r="Y306" s="151">
        <f t="shared" si="300"/>
        <v>0.15350963150770536</v>
      </c>
      <c r="Z306" s="151">
        <f t="shared" si="301"/>
        <v>3.4301732513709124</v>
      </c>
    </row>
    <row r="307" spans="1:26" ht="12.75">
      <c r="A307" s="141">
        <f>+'SMAW-SMAW'!A307</f>
        <v>290</v>
      </c>
      <c r="B307" s="142">
        <v>30</v>
      </c>
      <c r="C307" s="143">
        <f t="shared" si="207"/>
        <v>762</v>
      </c>
      <c r="D307" s="143">
        <v>12.7</v>
      </c>
      <c r="E307" s="144" t="s">
        <v>92</v>
      </c>
      <c r="F307" s="145">
        <f t="shared" si="303"/>
        <v>2</v>
      </c>
      <c r="G307" s="145">
        <f t="shared" si="302"/>
        <v>2</v>
      </c>
      <c r="H307" s="145">
        <f t="shared" si="304"/>
        <v>2</v>
      </c>
      <c r="I307" s="146">
        <f t="shared" si="305"/>
        <v>8.210398771374875</v>
      </c>
      <c r="J307" s="147"/>
      <c r="K307" s="145">
        <f t="shared" si="306"/>
        <v>0</v>
      </c>
      <c r="L307" s="145">
        <f t="shared" si="307"/>
        <v>6</v>
      </c>
      <c r="M307" s="145">
        <f t="shared" si="308"/>
        <v>21.4</v>
      </c>
      <c r="N307" s="145">
        <f t="shared" si="309"/>
        <v>87.85126685371115</v>
      </c>
      <c r="O307" s="145">
        <f t="shared" si="310"/>
        <v>0</v>
      </c>
      <c r="P307" s="145">
        <f t="shared" si="311"/>
        <v>46.8415950854995</v>
      </c>
      <c r="Q307" s="147">
        <f t="shared" si="312"/>
        <v>156.09286193921065</v>
      </c>
      <c r="R307" s="147"/>
      <c r="S307" s="128">
        <f t="shared" si="313"/>
        <v>0.15220257188417932</v>
      </c>
      <c r="T307" s="128">
        <f t="shared" si="314"/>
        <v>5.593967204213209</v>
      </c>
      <c r="U307" s="145">
        <f t="shared" si="315"/>
        <v>0</v>
      </c>
      <c r="V307" s="145">
        <f t="shared" si="316"/>
        <v>0</v>
      </c>
      <c r="W307" s="128">
        <f t="shared" si="284"/>
        <v>0</v>
      </c>
      <c r="X307" t="str">
        <f t="shared" si="299"/>
        <v>3012,7</v>
      </c>
      <c r="Y307" s="151">
        <f t="shared" si="300"/>
        <v>0.15220257188417932</v>
      </c>
      <c r="Z307" s="151">
        <f t="shared" si="301"/>
        <v>5.593967204213209</v>
      </c>
    </row>
    <row r="308" spans="1:26" ht="12.75">
      <c r="A308" s="141">
        <f>+'SMAW-SMAW'!A308</f>
        <v>291</v>
      </c>
      <c r="B308" s="142">
        <v>30</v>
      </c>
      <c r="C308" s="143">
        <f t="shared" si="207"/>
        <v>762</v>
      </c>
      <c r="D308" s="143">
        <v>12.7</v>
      </c>
      <c r="E308" s="144" t="s">
        <v>82</v>
      </c>
      <c r="F308" s="145">
        <f t="shared" si="303"/>
        <v>2</v>
      </c>
      <c r="G308" s="145">
        <f t="shared" si="302"/>
        <v>2</v>
      </c>
      <c r="H308" s="145">
        <f t="shared" si="304"/>
        <v>2</v>
      </c>
      <c r="I308" s="146">
        <f t="shared" si="305"/>
        <v>8.210398771374875</v>
      </c>
      <c r="J308" s="147"/>
      <c r="K308" s="145">
        <f t="shared" si="306"/>
        <v>0</v>
      </c>
      <c r="L308" s="145">
        <f t="shared" si="307"/>
        <v>6</v>
      </c>
      <c r="M308" s="145">
        <f t="shared" si="308"/>
        <v>21.4</v>
      </c>
      <c r="N308" s="145">
        <f t="shared" si="309"/>
        <v>87.85126685371115</v>
      </c>
      <c r="O308" s="145">
        <f t="shared" si="310"/>
        <v>0</v>
      </c>
      <c r="P308" s="145">
        <f t="shared" si="311"/>
        <v>46.8415950854995</v>
      </c>
      <c r="Q308" s="147">
        <f t="shared" si="312"/>
        <v>156.09286193921065</v>
      </c>
      <c r="R308" s="147"/>
      <c r="S308" s="128">
        <f t="shared" si="313"/>
        <v>0.15220257188417932</v>
      </c>
      <c r="T308" s="128">
        <f t="shared" si="314"/>
        <v>5.593967204213209</v>
      </c>
      <c r="U308" s="145">
        <f t="shared" si="315"/>
        <v>0</v>
      </c>
      <c r="V308" s="145">
        <f t="shared" si="316"/>
        <v>0</v>
      </c>
      <c r="W308" s="128">
        <f t="shared" si="284"/>
        <v>0</v>
      </c>
      <c r="X308" t="str">
        <f t="shared" si="299"/>
        <v>3012,7</v>
      </c>
      <c r="Y308" s="151">
        <f t="shared" si="300"/>
        <v>0.15220257188417932</v>
      </c>
      <c r="Z308" s="151">
        <f t="shared" si="301"/>
        <v>5.593967204213209</v>
      </c>
    </row>
    <row r="309" spans="1:26" ht="12.75">
      <c r="A309" s="141">
        <f>+'SMAW-SMAW'!A309</f>
        <v>292</v>
      </c>
      <c r="B309" s="142">
        <v>30</v>
      </c>
      <c r="C309" s="143">
        <f t="shared" si="207"/>
        <v>762</v>
      </c>
      <c r="D309" s="143">
        <v>15.88</v>
      </c>
      <c r="E309" s="144" t="s">
        <v>93</v>
      </c>
      <c r="F309" s="145">
        <f t="shared" si="303"/>
        <v>2</v>
      </c>
      <c r="G309" s="145">
        <f t="shared" si="302"/>
        <v>2</v>
      </c>
      <c r="H309" s="145">
        <f t="shared" si="304"/>
        <v>2</v>
      </c>
      <c r="I309" s="146">
        <f t="shared" si="305"/>
        <v>10.65049859314797</v>
      </c>
      <c r="J309" s="147"/>
      <c r="K309" s="145">
        <f t="shared" si="306"/>
        <v>0</v>
      </c>
      <c r="L309" s="145">
        <f t="shared" si="307"/>
        <v>6</v>
      </c>
      <c r="M309" s="145">
        <f t="shared" si="308"/>
        <v>27.76</v>
      </c>
      <c r="N309" s="145">
        <f t="shared" si="309"/>
        <v>147.82892047289383</v>
      </c>
      <c r="O309" s="145">
        <f t="shared" si="310"/>
        <v>0</v>
      </c>
      <c r="P309" s="145">
        <f t="shared" si="311"/>
        <v>56.60199437259188</v>
      </c>
      <c r="Q309" s="147">
        <f t="shared" si="312"/>
        <v>232.1909148454857</v>
      </c>
      <c r="R309" s="147"/>
      <c r="S309" s="128">
        <f t="shared" si="313"/>
        <v>0.15089551226065326</v>
      </c>
      <c r="T309" s="128">
        <f t="shared" si="314"/>
        <v>8.303617054761991</v>
      </c>
      <c r="U309" s="145">
        <f t="shared" si="315"/>
        <v>0</v>
      </c>
      <c r="V309" s="145">
        <f t="shared" si="316"/>
        <v>0</v>
      </c>
      <c r="W309" s="128">
        <f t="shared" si="284"/>
        <v>0</v>
      </c>
      <c r="X309" t="str">
        <f t="shared" si="299"/>
        <v>3015,88</v>
      </c>
      <c r="Y309" s="151">
        <f t="shared" si="300"/>
        <v>0.15089551226065326</v>
      </c>
      <c r="Z309" s="151">
        <f t="shared" si="301"/>
        <v>8.303617054761991</v>
      </c>
    </row>
    <row r="310" spans="1:26" ht="12.75">
      <c r="A310" s="141">
        <f>+'SMAW-SMAW'!A310</f>
        <v>293</v>
      </c>
      <c r="B310" s="142"/>
      <c r="C310" s="143"/>
      <c r="D310" s="143"/>
      <c r="E310" s="144"/>
      <c r="F310" s="145"/>
      <c r="G310" s="145">
        <f t="shared" si="302"/>
        <v>0</v>
      </c>
      <c r="H310" s="145"/>
      <c r="I310" s="146"/>
      <c r="J310" s="147"/>
      <c r="K310" s="145"/>
      <c r="L310" s="145"/>
      <c r="M310" s="145"/>
      <c r="N310" s="145"/>
      <c r="O310" s="145"/>
      <c r="P310" s="145"/>
      <c r="Q310" s="147"/>
      <c r="R310" s="147"/>
      <c r="S310" s="128"/>
      <c r="T310" s="128"/>
      <c r="U310" s="145"/>
      <c r="V310" s="145"/>
      <c r="W310" s="128">
        <f t="shared" si="284"/>
        <v>0</v>
      </c>
      <c r="X310">
        <f t="shared" si="299"/>
      </c>
      <c r="Y310" s="151">
        <f t="shared" si="300"/>
        <v>0</v>
      </c>
      <c r="Z310" s="151">
        <f t="shared" si="301"/>
        <v>0</v>
      </c>
    </row>
    <row r="311" spans="1:26" ht="12.75">
      <c r="A311" s="141">
        <f>+'SMAW-SMAW'!A311</f>
        <v>294</v>
      </c>
      <c r="B311" s="142">
        <v>32</v>
      </c>
      <c r="C311" s="143">
        <f t="shared" si="207"/>
        <v>812.8</v>
      </c>
      <c r="D311" s="143">
        <v>7.92</v>
      </c>
      <c r="E311" s="144" t="s">
        <v>97</v>
      </c>
      <c r="F311" s="145">
        <f aca="true" t="shared" si="317" ref="F311:F316">IF($D$6=1,2,3)</f>
        <v>2</v>
      </c>
      <c r="G311" s="145">
        <f t="shared" si="302"/>
        <v>2</v>
      </c>
      <c r="H311" s="145">
        <f aca="true" t="shared" si="318" ref="H311:H316">IF(D311&lt;=19,2,3)</f>
        <v>2</v>
      </c>
      <c r="I311" s="146">
        <f aca="true" t="shared" si="319" ref="I311:I316">IF(D311&lt;=19,(D311-G311)*TAN($C$8*PI()/180),(19-G311)*TAN($C$8*PI()/180))</f>
        <v>4.542575768835445</v>
      </c>
      <c r="J311" s="147"/>
      <c r="K311" s="145">
        <f aca="true" t="shared" si="320" ref="K311:K316">IF(D311&lt;=19,0,(D311-19)*TAN($C$10*PI()/180))</f>
        <v>0</v>
      </c>
      <c r="L311" s="145">
        <f aca="true" t="shared" si="321" ref="L311:L316">+F311*(G311*1.5)</f>
        <v>6</v>
      </c>
      <c r="M311" s="145">
        <f aca="true" t="shared" si="322" ref="M311:M316">+F311*(D311-G311)</f>
        <v>11.84</v>
      </c>
      <c r="N311" s="145">
        <f aca="true" t="shared" si="323" ref="N311:N316">IF(D311&lt;=19,(D311-G311)*I311,(19-G311)*I311)</f>
        <v>26.892048551505837</v>
      </c>
      <c r="O311" s="145">
        <f aca="true" t="shared" si="324" ref="O311:O316">IF(D311&lt;=19,0,(I311*(D311-19)*2)+((K311)*(D311-19)))</f>
        <v>0</v>
      </c>
      <c r="P311" s="145">
        <f aca="true" t="shared" si="325" ref="P311:P316">+(5+F311+(2*(I311+K311)))*H311</f>
        <v>32.17030307534178</v>
      </c>
      <c r="Q311" s="147">
        <f aca="true" t="shared" si="326" ref="Q311:Q316">SUM(M311:P311)</f>
        <v>70.90235162684762</v>
      </c>
      <c r="R311" s="147"/>
      <c r="S311" s="128">
        <f aca="true" t="shared" si="327" ref="S311:S316">IF(D$6=1,(PI()*(C311-(2*D311)+(2*G311))*L311*0.1*0.01*7.85*0.001/(S$16*S$17)),0)</f>
        <v>0.1646073075565113</v>
      </c>
      <c r="T311" s="128">
        <f aca="true" t="shared" si="328" ref="T311:T316">IF(D$6=1,(PI()*(C311-(0.5*D311))*(Q311)*0.1*0.01*7.85*0.001/(T$16*T$17)),0)</f>
        <v>2.719815509893137</v>
      </c>
      <c r="U311" s="145">
        <f aca="true" t="shared" si="329" ref="U311:U316">IF(D$6=1,0,(PI()*(C311-(2*D311)+(2*G311))*L311*0.1*0.01*7.85*0.001/(U$16*U$17)))</f>
        <v>0</v>
      </c>
      <c r="V311" s="145">
        <f aca="true" t="shared" si="330" ref="V311:V316">IF(D$6=1,0,(PI()*(C311-(0.5*D311))*(Q311)*0.1*0.01*7.85*0.001/(V$16*V$17)))</f>
        <v>0</v>
      </c>
      <c r="W311" s="128">
        <f t="shared" si="284"/>
        <v>0</v>
      </c>
      <c r="X311" t="str">
        <f t="shared" si="299"/>
        <v>327,92</v>
      </c>
      <c r="Y311" s="151">
        <f t="shared" si="300"/>
        <v>0.1646073075565113</v>
      </c>
      <c r="Z311" s="151">
        <f t="shared" si="301"/>
        <v>2.719815509893137</v>
      </c>
    </row>
    <row r="312" spans="1:26" ht="12.75">
      <c r="A312" s="141">
        <f>+'SMAW-SMAW'!A312</f>
        <v>295</v>
      </c>
      <c r="B312" s="142">
        <v>32</v>
      </c>
      <c r="C312" s="143">
        <f t="shared" si="207"/>
        <v>812.8</v>
      </c>
      <c r="D312" s="143">
        <v>9.52</v>
      </c>
      <c r="E312" s="144" t="s">
        <v>86</v>
      </c>
      <c r="F312" s="145">
        <f t="shared" si="317"/>
        <v>2</v>
      </c>
      <c r="G312" s="145">
        <f t="shared" si="302"/>
        <v>2</v>
      </c>
      <c r="H312" s="145">
        <f t="shared" si="318"/>
        <v>2</v>
      </c>
      <c r="I312" s="146">
        <f t="shared" si="319"/>
        <v>5.770298949601782</v>
      </c>
      <c r="J312" s="147"/>
      <c r="K312" s="145">
        <f t="shared" si="320"/>
        <v>0</v>
      </c>
      <c r="L312" s="145">
        <f t="shared" si="321"/>
        <v>6</v>
      </c>
      <c r="M312" s="145">
        <f t="shared" si="322"/>
        <v>15.04</v>
      </c>
      <c r="N312" s="145">
        <f t="shared" si="323"/>
        <v>43.39264810100539</v>
      </c>
      <c r="O312" s="145">
        <f t="shared" si="324"/>
        <v>0</v>
      </c>
      <c r="P312" s="145">
        <f t="shared" si="325"/>
        <v>37.08119579840712</v>
      </c>
      <c r="Q312" s="147">
        <f t="shared" si="326"/>
        <v>95.5138438994125</v>
      </c>
      <c r="R312" s="147"/>
      <c r="S312" s="128">
        <f t="shared" si="327"/>
        <v>0.1639496674943598</v>
      </c>
      <c r="T312" s="128">
        <f t="shared" si="328"/>
        <v>3.6602889361863507</v>
      </c>
      <c r="U312" s="145">
        <f t="shared" si="329"/>
        <v>0</v>
      </c>
      <c r="V312" s="145">
        <f t="shared" si="330"/>
        <v>0</v>
      </c>
      <c r="W312" s="128">
        <f t="shared" si="284"/>
        <v>0</v>
      </c>
      <c r="X312" t="str">
        <f t="shared" si="299"/>
        <v>329,52</v>
      </c>
      <c r="Y312" s="151">
        <f t="shared" si="300"/>
        <v>0.1639496674943598</v>
      </c>
      <c r="Z312" s="151">
        <f t="shared" si="301"/>
        <v>3.6602889361863507</v>
      </c>
    </row>
    <row r="313" spans="1:26" ht="12.75">
      <c r="A313" s="141">
        <f>+'SMAW-SMAW'!A313</f>
        <v>296</v>
      </c>
      <c r="B313" s="142">
        <v>32</v>
      </c>
      <c r="C313" s="143">
        <f t="shared" si="207"/>
        <v>812.8</v>
      </c>
      <c r="D313" s="143">
        <v>12.7</v>
      </c>
      <c r="E313" s="144" t="s">
        <v>92</v>
      </c>
      <c r="F313" s="145">
        <f t="shared" si="317"/>
        <v>2</v>
      </c>
      <c r="G313" s="145">
        <f t="shared" si="302"/>
        <v>2</v>
      </c>
      <c r="H313" s="145">
        <f t="shared" si="318"/>
        <v>2</v>
      </c>
      <c r="I313" s="146">
        <f t="shared" si="319"/>
        <v>8.210398771374875</v>
      </c>
      <c r="J313" s="147"/>
      <c r="K313" s="145">
        <f t="shared" si="320"/>
        <v>0</v>
      </c>
      <c r="L313" s="145">
        <f t="shared" si="321"/>
        <v>6</v>
      </c>
      <c r="M313" s="145">
        <f t="shared" si="322"/>
        <v>21.4</v>
      </c>
      <c r="N313" s="145">
        <f t="shared" si="323"/>
        <v>87.85126685371115</v>
      </c>
      <c r="O313" s="145">
        <f t="shared" si="324"/>
        <v>0</v>
      </c>
      <c r="P313" s="145">
        <f t="shared" si="325"/>
        <v>46.8415950854995</v>
      </c>
      <c r="Q313" s="147">
        <f t="shared" si="326"/>
        <v>156.09286193921065</v>
      </c>
      <c r="R313" s="147"/>
      <c r="S313" s="128">
        <f t="shared" si="327"/>
        <v>0.16264260787083373</v>
      </c>
      <c r="T313" s="128">
        <f t="shared" si="328"/>
        <v>5.9700322263451895</v>
      </c>
      <c r="U313" s="145">
        <f t="shared" si="329"/>
        <v>0</v>
      </c>
      <c r="V313" s="145">
        <f t="shared" si="330"/>
        <v>0</v>
      </c>
      <c r="W313" s="128">
        <f t="shared" si="284"/>
        <v>0</v>
      </c>
      <c r="X313" t="str">
        <f t="shared" si="299"/>
        <v>3212,7</v>
      </c>
      <c r="Y313" s="151">
        <f t="shared" si="300"/>
        <v>0.16264260787083373</v>
      </c>
      <c r="Z313" s="151">
        <f t="shared" si="301"/>
        <v>5.9700322263451895</v>
      </c>
    </row>
    <row r="314" spans="1:26" ht="12.75">
      <c r="A314" s="141">
        <f>+'SMAW-SMAW'!A314</f>
        <v>297</v>
      </c>
      <c r="B314" s="142">
        <v>32</v>
      </c>
      <c r="C314" s="143">
        <f t="shared" si="207"/>
        <v>812.8</v>
      </c>
      <c r="D314" s="143">
        <v>12.7</v>
      </c>
      <c r="E314" s="144" t="s">
        <v>82</v>
      </c>
      <c r="F314" s="145">
        <f t="shared" si="317"/>
        <v>2</v>
      </c>
      <c r="G314" s="145">
        <f t="shared" si="302"/>
        <v>2</v>
      </c>
      <c r="H314" s="145">
        <f t="shared" si="318"/>
        <v>2</v>
      </c>
      <c r="I314" s="146">
        <f t="shared" si="319"/>
        <v>8.210398771374875</v>
      </c>
      <c r="J314" s="147"/>
      <c r="K314" s="145">
        <f t="shared" si="320"/>
        <v>0</v>
      </c>
      <c r="L314" s="145">
        <f t="shared" si="321"/>
        <v>6</v>
      </c>
      <c r="M314" s="145">
        <f t="shared" si="322"/>
        <v>21.4</v>
      </c>
      <c r="N314" s="145">
        <f t="shared" si="323"/>
        <v>87.85126685371115</v>
      </c>
      <c r="O314" s="145">
        <f t="shared" si="324"/>
        <v>0</v>
      </c>
      <c r="P314" s="145">
        <f t="shared" si="325"/>
        <v>46.8415950854995</v>
      </c>
      <c r="Q314" s="147">
        <f t="shared" si="326"/>
        <v>156.09286193921065</v>
      </c>
      <c r="R314" s="147"/>
      <c r="S314" s="128">
        <f t="shared" si="327"/>
        <v>0.16264260787083373</v>
      </c>
      <c r="T314" s="128">
        <f t="shared" si="328"/>
        <v>5.9700322263451895</v>
      </c>
      <c r="U314" s="145">
        <f t="shared" si="329"/>
        <v>0</v>
      </c>
      <c r="V314" s="145">
        <f t="shared" si="330"/>
        <v>0</v>
      </c>
      <c r="W314" s="128">
        <f t="shared" si="284"/>
        <v>0</v>
      </c>
      <c r="X314" t="str">
        <f t="shared" si="299"/>
        <v>3212,7</v>
      </c>
      <c r="Y314" s="151">
        <f t="shared" si="300"/>
        <v>0.16264260787083373</v>
      </c>
      <c r="Z314" s="151">
        <f t="shared" si="301"/>
        <v>5.9700322263451895</v>
      </c>
    </row>
    <row r="315" spans="1:26" ht="12.75">
      <c r="A315" s="141">
        <f>+'SMAW-SMAW'!A315</f>
        <v>298</v>
      </c>
      <c r="B315" s="142">
        <v>32</v>
      </c>
      <c r="C315" s="143">
        <f t="shared" si="207"/>
        <v>812.8</v>
      </c>
      <c r="D315" s="143">
        <v>15.89</v>
      </c>
      <c r="E315" s="144" t="s">
        <v>93</v>
      </c>
      <c r="F315" s="145">
        <f t="shared" si="317"/>
        <v>2</v>
      </c>
      <c r="G315" s="145">
        <f t="shared" si="302"/>
        <v>2</v>
      </c>
      <c r="H315" s="145">
        <f t="shared" si="318"/>
        <v>2</v>
      </c>
      <c r="I315" s="146">
        <f t="shared" si="319"/>
        <v>10.65817186302776</v>
      </c>
      <c r="J315" s="147"/>
      <c r="K315" s="145">
        <f t="shared" si="320"/>
        <v>0</v>
      </c>
      <c r="L315" s="145">
        <f t="shared" si="321"/>
        <v>6</v>
      </c>
      <c r="M315" s="145">
        <f t="shared" si="322"/>
        <v>27.78</v>
      </c>
      <c r="N315" s="145">
        <f t="shared" si="323"/>
        <v>148.0420071774556</v>
      </c>
      <c r="O315" s="145">
        <f t="shared" si="324"/>
        <v>0</v>
      </c>
      <c r="P315" s="145">
        <f t="shared" si="325"/>
        <v>56.63268745211104</v>
      </c>
      <c r="Q315" s="147">
        <f t="shared" si="326"/>
        <v>232.45469462956663</v>
      </c>
      <c r="R315" s="147"/>
      <c r="S315" s="128">
        <f t="shared" si="327"/>
        <v>0.1613314379969193</v>
      </c>
      <c r="T315" s="128">
        <f t="shared" si="328"/>
        <v>8.873034164972134</v>
      </c>
      <c r="U315" s="145">
        <f t="shared" si="329"/>
        <v>0</v>
      </c>
      <c r="V315" s="145">
        <f t="shared" si="330"/>
        <v>0</v>
      </c>
      <c r="W315" s="128">
        <f t="shared" si="284"/>
        <v>0</v>
      </c>
      <c r="X315" t="str">
        <f t="shared" si="299"/>
        <v>3215,89</v>
      </c>
      <c r="Y315" s="151">
        <f t="shared" si="300"/>
        <v>0.1613314379969193</v>
      </c>
      <c r="Z315" s="151">
        <f t="shared" si="301"/>
        <v>8.873034164972134</v>
      </c>
    </row>
    <row r="316" spans="1:26" ht="12.75">
      <c r="A316" s="141">
        <f>+'SMAW-SMAW'!A316</f>
        <v>299</v>
      </c>
      <c r="B316" s="142">
        <v>32</v>
      </c>
      <c r="C316" s="143">
        <f t="shared" si="207"/>
        <v>812.8</v>
      </c>
      <c r="D316" s="143">
        <v>17.48</v>
      </c>
      <c r="E316" s="144" t="s">
        <v>87</v>
      </c>
      <c r="F316" s="145">
        <f t="shared" si="317"/>
        <v>2</v>
      </c>
      <c r="G316" s="145">
        <f t="shared" si="302"/>
        <v>2</v>
      </c>
      <c r="H316" s="145">
        <f t="shared" si="318"/>
        <v>2</v>
      </c>
      <c r="I316" s="146">
        <f t="shared" si="319"/>
        <v>11.878221773914307</v>
      </c>
      <c r="J316" s="147"/>
      <c r="K316" s="145">
        <f t="shared" si="320"/>
        <v>0</v>
      </c>
      <c r="L316" s="145">
        <f t="shared" si="321"/>
        <v>6</v>
      </c>
      <c r="M316" s="145">
        <f t="shared" si="322"/>
        <v>30.96</v>
      </c>
      <c r="N316" s="145">
        <f t="shared" si="323"/>
        <v>183.87487306019347</v>
      </c>
      <c r="O316" s="145">
        <f t="shared" si="324"/>
        <v>0</v>
      </c>
      <c r="P316" s="145">
        <f t="shared" si="325"/>
        <v>61.51288709565723</v>
      </c>
      <c r="Q316" s="147">
        <f t="shared" si="326"/>
        <v>276.3477601558507</v>
      </c>
      <c r="R316" s="147"/>
      <c r="S316" s="128">
        <f t="shared" si="327"/>
        <v>0.16067790818515626</v>
      </c>
      <c r="T316" s="128">
        <f t="shared" si="328"/>
        <v>10.53805818790357</v>
      </c>
      <c r="U316" s="145">
        <f t="shared" si="329"/>
        <v>0</v>
      </c>
      <c r="V316" s="145">
        <f t="shared" si="330"/>
        <v>0</v>
      </c>
      <c r="W316" s="128">
        <f t="shared" si="284"/>
        <v>0</v>
      </c>
      <c r="X316" t="str">
        <f t="shared" si="299"/>
        <v>3217,48</v>
      </c>
      <c r="Y316" s="151">
        <f t="shared" si="300"/>
        <v>0.16067790818515626</v>
      </c>
      <c r="Z316" s="151">
        <f t="shared" si="301"/>
        <v>10.53805818790357</v>
      </c>
    </row>
    <row r="317" spans="1:26" ht="12.75">
      <c r="A317" s="141">
        <f>+'SMAW-SMAW'!A317</f>
        <v>300</v>
      </c>
      <c r="B317" s="142"/>
      <c r="C317" s="143"/>
      <c r="D317" s="143"/>
      <c r="E317" s="144"/>
      <c r="F317" s="145"/>
      <c r="G317" s="145">
        <f t="shared" si="302"/>
        <v>0</v>
      </c>
      <c r="H317" s="145"/>
      <c r="I317" s="146"/>
      <c r="J317" s="147"/>
      <c r="K317" s="145"/>
      <c r="L317" s="145"/>
      <c r="M317" s="145"/>
      <c r="N317" s="145"/>
      <c r="O317" s="145"/>
      <c r="P317" s="145"/>
      <c r="Q317" s="147"/>
      <c r="R317" s="147"/>
      <c r="S317" s="128"/>
      <c r="T317" s="128"/>
      <c r="U317" s="145"/>
      <c r="V317" s="145"/>
      <c r="W317" s="128">
        <f t="shared" si="284"/>
        <v>0</v>
      </c>
      <c r="X317">
        <f t="shared" si="299"/>
      </c>
      <c r="Y317" s="151">
        <f t="shared" si="300"/>
        <v>0</v>
      </c>
      <c r="Z317" s="151">
        <f t="shared" si="301"/>
        <v>0</v>
      </c>
    </row>
    <row r="318" spans="1:26" ht="12.75">
      <c r="A318" s="141">
        <f>+'SMAW-SMAW'!A318</f>
        <v>301</v>
      </c>
      <c r="B318" s="142">
        <v>36</v>
      </c>
      <c r="C318" s="143">
        <f aca="true" t="shared" si="331" ref="C318:C323">25.4*B318</f>
        <v>914.4</v>
      </c>
      <c r="D318" s="143">
        <v>7.92</v>
      </c>
      <c r="E318" s="144" t="s">
        <v>97</v>
      </c>
      <c r="F318" s="145">
        <f aca="true" t="shared" si="332" ref="F318:F359">IF($D$6=1,2,3)</f>
        <v>2</v>
      </c>
      <c r="G318" s="145">
        <f t="shared" si="302"/>
        <v>2</v>
      </c>
      <c r="H318" s="145">
        <f aca="true" t="shared" si="333" ref="H318:H323">IF(D318&lt;=19,2,3)</f>
        <v>2</v>
      </c>
      <c r="I318" s="146">
        <f aca="true" t="shared" si="334" ref="I318:I323">IF(D318&lt;=19,(D318-G318)*TAN($C$8*PI()/180),(19-G318)*TAN($C$8*PI()/180))</f>
        <v>4.542575768835445</v>
      </c>
      <c r="J318" s="147"/>
      <c r="K318" s="145">
        <f aca="true" t="shared" si="335" ref="K318:K323">IF(D318&lt;=19,0,(D318-19)*TAN($C$10*PI()/180))</f>
        <v>0</v>
      </c>
      <c r="L318" s="145">
        <f aca="true" t="shared" si="336" ref="L318:L323">+F318*(G318*1.5)</f>
        <v>6</v>
      </c>
      <c r="M318" s="145">
        <f aca="true" t="shared" si="337" ref="M318:M323">+F318*(D318-G318)</f>
        <v>11.84</v>
      </c>
      <c r="N318" s="145">
        <f aca="true" t="shared" si="338" ref="N318:N323">IF(D318&lt;=19,(D318-G318)*I318,(19-G318)*I318)</f>
        <v>26.892048551505837</v>
      </c>
      <c r="O318" s="145">
        <f aca="true" t="shared" si="339" ref="O318:O323">IF(D318&lt;=19,0,(I318*(D318-19)*2)+((K318)*(D318-19)))</f>
        <v>0</v>
      </c>
      <c r="P318" s="145">
        <f aca="true" t="shared" si="340" ref="P318:P323">+(5+F318+(2*(I318+K318)))*H318</f>
        <v>32.17030307534178</v>
      </c>
      <c r="Q318" s="147">
        <f aca="true" t="shared" si="341" ref="Q318:Q323">SUM(M318:P318)</f>
        <v>70.90235162684762</v>
      </c>
      <c r="R318" s="147"/>
      <c r="S318" s="128">
        <f aca="true" t="shared" si="342" ref="S318:S323">IF(D$6=1,(PI()*(C318-(2*D318)+(2*G318))*L318*0.1*0.01*7.85*0.001/(S$16*S$17)),0)</f>
        <v>0.18548737952982025</v>
      </c>
      <c r="T318" s="128">
        <f aca="true" t="shared" si="343" ref="T318:T323">IF(D$6=1,(PI()*(C318-(0.5*D318))*(Q318)*0.1*0.01*7.85*0.001/(T$16*T$17)),0)</f>
        <v>3.0614569418267004</v>
      </c>
      <c r="U318" s="145">
        <f aca="true" t="shared" si="344" ref="U318:U323">IF(D$6=1,0,(PI()*(C318-(2*D318)+(2*G318))*L318*0.1*0.01*7.85*0.001/(U$16*U$17)))</f>
        <v>0</v>
      </c>
      <c r="V318" s="145">
        <f aca="true" t="shared" si="345" ref="V318:V323">IF(D$6=1,0,(PI()*(C318-(0.5*D318))*(Q318)*0.1*0.01*7.85*0.001/(V$16*V$17)))</f>
        <v>0</v>
      </c>
      <c r="W318" s="128">
        <f t="shared" si="284"/>
        <v>0</v>
      </c>
      <c r="X318" t="str">
        <f t="shared" si="299"/>
        <v>367,92</v>
      </c>
      <c r="Y318" s="151">
        <f t="shared" si="300"/>
        <v>0.18548737952982025</v>
      </c>
      <c r="Z318" s="151">
        <f t="shared" si="301"/>
        <v>3.0614569418267004</v>
      </c>
    </row>
    <row r="319" spans="1:26" ht="12.75">
      <c r="A319" s="141">
        <f>+'SMAW-SMAW'!A319</f>
        <v>302</v>
      </c>
      <c r="B319" s="142">
        <v>36</v>
      </c>
      <c r="C319" s="143">
        <f t="shared" si="331"/>
        <v>914.4</v>
      </c>
      <c r="D319" s="143">
        <v>9.52</v>
      </c>
      <c r="E319" s="144" t="s">
        <v>86</v>
      </c>
      <c r="F319" s="145">
        <f t="shared" si="332"/>
        <v>2</v>
      </c>
      <c r="G319" s="145">
        <f t="shared" si="302"/>
        <v>2</v>
      </c>
      <c r="H319" s="145">
        <f t="shared" si="333"/>
        <v>2</v>
      </c>
      <c r="I319" s="146">
        <f t="shared" si="334"/>
        <v>5.770298949601782</v>
      </c>
      <c r="J319" s="147"/>
      <c r="K319" s="145">
        <f t="shared" si="335"/>
        <v>0</v>
      </c>
      <c r="L319" s="145">
        <f t="shared" si="336"/>
        <v>6</v>
      </c>
      <c r="M319" s="145">
        <f t="shared" si="337"/>
        <v>15.04</v>
      </c>
      <c r="N319" s="145">
        <f t="shared" si="338"/>
        <v>43.39264810100539</v>
      </c>
      <c r="O319" s="145">
        <f t="shared" si="339"/>
        <v>0</v>
      </c>
      <c r="P319" s="145">
        <f t="shared" si="340"/>
        <v>37.08119579840712</v>
      </c>
      <c r="Q319" s="147">
        <f t="shared" si="341"/>
        <v>95.5138438994125</v>
      </c>
      <c r="R319" s="147"/>
      <c r="S319" s="128">
        <f t="shared" si="342"/>
        <v>0.18482973946766873</v>
      </c>
      <c r="T319" s="128">
        <f t="shared" si="343"/>
        <v>4.120520305817227</v>
      </c>
      <c r="U319" s="145">
        <f t="shared" si="344"/>
        <v>0</v>
      </c>
      <c r="V319" s="145">
        <f t="shared" si="345"/>
        <v>0</v>
      </c>
      <c r="W319" s="128">
        <f t="shared" si="284"/>
        <v>0</v>
      </c>
      <c r="X319" t="str">
        <f t="shared" si="299"/>
        <v>369,52</v>
      </c>
      <c r="Y319" s="151">
        <f t="shared" si="300"/>
        <v>0.18482973946766873</v>
      </c>
      <c r="Z319" s="151">
        <f t="shared" si="301"/>
        <v>4.120520305817227</v>
      </c>
    </row>
    <row r="320" spans="1:26" ht="12.75">
      <c r="A320" s="141">
        <f>+'SMAW-SMAW'!A320</f>
        <v>303</v>
      </c>
      <c r="B320" s="142">
        <v>36</v>
      </c>
      <c r="C320" s="143">
        <f t="shared" si="331"/>
        <v>914.4</v>
      </c>
      <c r="D320" s="143">
        <v>12.7</v>
      </c>
      <c r="E320" s="144" t="s">
        <v>92</v>
      </c>
      <c r="F320" s="145">
        <f t="shared" si="332"/>
        <v>2</v>
      </c>
      <c r="G320" s="145">
        <f t="shared" si="302"/>
        <v>2</v>
      </c>
      <c r="H320" s="145">
        <f t="shared" si="333"/>
        <v>2</v>
      </c>
      <c r="I320" s="146">
        <f t="shared" si="334"/>
        <v>8.210398771374875</v>
      </c>
      <c r="J320" s="147"/>
      <c r="K320" s="145">
        <f t="shared" si="335"/>
        <v>0</v>
      </c>
      <c r="L320" s="145">
        <f t="shared" si="336"/>
        <v>6</v>
      </c>
      <c r="M320" s="145">
        <f t="shared" si="337"/>
        <v>21.4</v>
      </c>
      <c r="N320" s="145">
        <f t="shared" si="338"/>
        <v>87.85126685371115</v>
      </c>
      <c r="O320" s="145">
        <f t="shared" si="339"/>
        <v>0</v>
      </c>
      <c r="P320" s="145">
        <f t="shared" si="340"/>
        <v>46.8415950854995</v>
      </c>
      <c r="Q320" s="147">
        <f t="shared" si="341"/>
        <v>156.09286193921065</v>
      </c>
      <c r="R320" s="147"/>
      <c r="S320" s="128">
        <f t="shared" si="342"/>
        <v>0.18352267984414272</v>
      </c>
      <c r="T320" s="128">
        <f t="shared" si="343"/>
        <v>6.722162270609151</v>
      </c>
      <c r="U320" s="145">
        <f t="shared" si="344"/>
        <v>0</v>
      </c>
      <c r="V320" s="145">
        <f t="shared" si="345"/>
        <v>0</v>
      </c>
      <c r="W320" s="128">
        <f t="shared" si="284"/>
        <v>0</v>
      </c>
      <c r="X320" t="str">
        <f t="shared" si="299"/>
        <v>3612,7</v>
      </c>
      <c r="Y320" s="151">
        <f t="shared" si="300"/>
        <v>0.18352267984414272</v>
      </c>
      <c r="Z320" s="151">
        <f t="shared" si="301"/>
        <v>6.722162270609151</v>
      </c>
    </row>
    <row r="321" spans="1:26" ht="12.75">
      <c r="A321" s="141">
        <f>+'SMAW-SMAW'!A321</f>
        <v>304</v>
      </c>
      <c r="B321" s="142">
        <v>36</v>
      </c>
      <c r="C321" s="143">
        <f t="shared" si="331"/>
        <v>914.4</v>
      </c>
      <c r="D321" s="143">
        <v>12.7</v>
      </c>
      <c r="E321" s="144" t="s">
        <v>82</v>
      </c>
      <c r="F321" s="145">
        <f t="shared" si="332"/>
        <v>2</v>
      </c>
      <c r="G321" s="145">
        <f t="shared" si="302"/>
        <v>2</v>
      </c>
      <c r="H321" s="145">
        <f t="shared" si="333"/>
        <v>2</v>
      </c>
      <c r="I321" s="146">
        <f t="shared" si="334"/>
        <v>8.210398771374875</v>
      </c>
      <c r="J321" s="147"/>
      <c r="K321" s="145">
        <f t="shared" si="335"/>
        <v>0</v>
      </c>
      <c r="L321" s="145">
        <f t="shared" si="336"/>
        <v>6</v>
      </c>
      <c r="M321" s="145">
        <f t="shared" si="337"/>
        <v>21.4</v>
      </c>
      <c r="N321" s="145">
        <f t="shared" si="338"/>
        <v>87.85126685371115</v>
      </c>
      <c r="O321" s="145">
        <f t="shared" si="339"/>
        <v>0</v>
      </c>
      <c r="P321" s="145">
        <f t="shared" si="340"/>
        <v>46.8415950854995</v>
      </c>
      <c r="Q321" s="147">
        <f t="shared" si="341"/>
        <v>156.09286193921065</v>
      </c>
      <c r="R321" s="147"/>
      <c r="S321" s="128">
        <f t="shared" si="342"/>
        <v>0.18352267984414272</v>
      </c>
      <c r="T321" s="128">
        <f t="shared" si="343"/>
        <v>6.722162270609151</v>
      </c>
      <c r="U321" s="145">
        <f t="shared" si="344"/>
        <v>0</v>
      </c>
      <c r="V321" s="145">
        <f t="shared" si="345"/>
        <v>0</v>
      </c>
      <c r="W321" s="128">
        <f t="shared" si="284"/>
        <v>0</v>
      </c>
      <c r="X321" t="str">
        <f t="shared" si="299"/>
        <v>3612,7</v>
      </c>
      <c r="Y321" s="151">
        <f t="shared" si="300"/>
        <v>0.18352267984414272</v>
      </c>
      <c r="Z321" s="151">
        <f t="shared" si="301"/>
        <v>6.722162270609151</v>
      </c>
    </row>
    <row r="322" spans="1:26" ht="12.75">
      <c r="A322" s="141">
        <f>+'SMAW-SMAW'!A322</f>
        <v>305</v>
      </c>
      <c r="B322" s="142">
        <v>36</v>
      </c>
      <c r="C322" s="143">
        <f t="shared" si="331"/>
        <v>914.4</v>
      </c>
      <c r="D322" s="143">
        <v>15.88</v>
      </c>
      <c r="E322" s="144" t="s">
        <v>93</v>
      </c>
      <c r="F322" s="145">
        <f t="shared" si="332"/>
        <v>2</v>
      </c>
      <c r="G322" s="145">
        <f t="shared" si="302"/>
        <v>2</v>
      </c>
      <c r="H322" s="145">
        <f t="shared" si="333"/>
        <v>2</v>
      </c>
      <c r="I322" s="146">
        <f t="shared" si="334"/>
        <v>10.65049859314797</v>
      </c>
      <c r="J322" s="147"/>
      <c r="K322" s="145">
        <f t="shared" si="335"/>
        <v>0</v>
      </c>
      <c r="L322" s="145">
        <f t="shared" si="336"/>
        <v>6</v>
      </c>
      <c r="M322" s="145">
        <f t="shared" si="337"/>
        <v>27.76</v>
      </c>
      <c r="N322" s="145">
        <f t="shared" si="338"/>
        <v>147.82892047289383</v>
      </c>
      <c r="O322" s="145">
        <f t="shared" si="339"/>
        <v>0</v>
      </c>
      <c r="P322" s="145">
        <f t="shared" si="340"/>
        <v>56.60199437259188</v>
      </c>
      <c r="Q322" s="147">
        <f t="shared" si="341"/>
        <v>232.1909148454857</v>
      </c>
      <c r="R322" s="147"/>
      <c r="S322" s="128">
        <f t="shared" si="342"/>
        <v>0.18221562022061666</v>
      </c>
      <c r="T322" s="128">
        <f t="shared" si="343"/>
        <v>9.981827328673516</v>
      </c>
      <c r="U322" s="145">
        <f t="shared" si="344"/>
        <v>0</v>
      </c>
      <c r="V322" s="145">
        <f t="shared" si="345"/>
        <v>0</v>
      </c>
      <c r="W322" s="128">
        <f t="shared" si="284"/>
        <v>0</v>
      </c>
      <c r="X322" t="str">
        <f t="shared" si="299"/>
        <v>3615,88</v>
      </c>
      <c r="Y322" s="151">
        <f t="shared" si="300"/>
        <v>0.18221562022061666</v>
      </c>
      <c r="Z322" s="151">
        <f t="shared" si="301"/>
        <v>9.981827328673516</v>
      </c>
    </row>
    <row r="323" spans="1:26" ht="12.75">
      <c r="A323" s="141">
        <f>+'SMAW-SMAW'!A323</f>
        <v>306</v>
      </c>
      <c r="B323" s="142">
        <v>36</v>
      </c>
      <c r="C323" s="143">
        <f t="shared" si="331"/>
        <v>914.4</v>
      </c>
      <c r="D323" s="143">
        <v>19.05</v>
      </c>
      <c r="E323" s="144" t="s">
        <v>87</v>
      </c>
      <c r="F323" s="145">
        <f t="shared" si="332"/>
        <v>2</v>
      </c>
      <c r="G323" s="145">
        <f t="shared" si="302"/>
        <v>2</v>
      </c>
      <c r="H323" s="145">
        <f t="shared" si="333"/>
        <v>3</v>
      </c>
      <c r="I323" s="146">
        <f t="shared" si="334"/>
        <v>13.044558795642326</v>
      </c>
      <c r="J323" s="147"/>
      <c r="K323" s="145">
        <f t="shared" si="335"/>
        <v>0.008816349035423374</v>
      </c>
      <c r="L323" s="145">
        <f t="shared" si="336"/>
        <v>6</v>
      </c>
      <c r="M323" s="145">
        <f t="shared" si="337"/>
        <v>34.1</v>
      </c>
      <c r="N323" s="145">
        <f t="shared" si="338"/>
        <v>221.75749952591954</v>
      </c>
      <c r="O323" s="145">
        <f t="shared" si="339"/>
        <v>1.3048966970160223</v>
      </c>
      <c r="P323" s="145">
        <f t="shared" si="340"/>
        <v>99.32025086806651</v>
      </c>
      <c r="Q323" s="147">
        <f t="shared" si="341"/>
        <v>356.4826470910021</v>
      </c>
      <c r="R323" s="147"/>
      <c r="S323" s="128">
        <f t="shared" si="342"/>
        <v>0.1809126708474791</v>
      </c>
      <c r="T323" s="128">
        <f t="shared" si="343"/>
        <v>15.298299869865211</v>
      </c>
      <c r="U323" s="145">
        <f t="shared" si="344"/>
        <v>0</v>
      </c>
      <c r="V323" s="145">
        <f t="shared" si="345"/>
        <v>0</v>
      </c>
      <c r="W323" s="128">
        <f t="shared" si="284"/>
        <v>0</v>
      </c>
      <c r="X323" t="str">
        <f t="shared" si="299"/>
        <v>3619,05</v>
      </c>
      <c r="Y323" s="151">
        <f t="shared" si="300"/>
        <v>0.1809126708474791</v>
      </c>
      <c r="Z323" s="151">
        <f t="shared" si="301"/>
        <v>15.298299869865211</v>
      </c>
    </row>
    <row r="324" spans="1:26" ht="12.75">
      <c r="A324" s="141">
        <f>+'SMAW-SMAW'!A324</f>
        <v>307</v>
      </c>
      <c r="B324" s="142"/>
      <c r="C324" s="143"/>
      <c r="D324" s="143"/>
      <c r="E324" s="142"/>
      <c r="F324" s="145"/>
      <c r="G324" s="145"/>
      <c r="H324" s="145"/>
      <c r="I324" s="146"/>
      <c r="J324" s="147"/>
      <c r="K324" s="145"/>
      <c r="L324" s="145"/>
      <c r="M324" s="145"/>
      <c r="N324" s="145"/>
      <c r="O324" s="145"/>
      <c r="P324" s="145"/>
      <c r="Q324" s="147"/>
      <c r="R324" s="147"/>
      <c r="S324" s="128"/>
      <c r="T324" s="128"/>
      <c r="U324" s="145"/>
      <c r="V324" s="145"/>
      <c r="W324" s="145"/>
      <c r="X324">
        <f t="shared" si="299"/>
      </c>
      <c r="Y324" s="151">
        <f t="shared" si="300"/>
        <v>0</v>
      </c>
      <c r="Z324" s="151">
        <f t="shared" si="301"/>
        <v>0</v>
      </c>
    </row>
    <row r="325" spans="1:26" ht="12.75">
      <c r="A325" s="141">
        <f>+'SMAW-SMAW'!A325</f>
        <v>308</v>
      </c>
      <c r="B325" s="142">
        <v>38</v>
      </c>
      <c r="C325" s="143">
        <f aca="true" t="shared" si="346" ref="C325:C338">25.4*B325</f>
        <v>965.1999999999999</v>
      </c>
      <c r="D325" s="143">
        <v>9.52</v>
      </c>
      <c r="E325" s="144" t="s">
        <v>86</v>
      </c>
      <c r="F325" s="145">
        <f t="shared" si="332"/>
        <v>2</v>
      </c>
      <c r="G325" s="145">
        <f aca="true" t="shared" si="347" ref="G325:G359">IF(D325&lt;2,D325,2)</f>
        <v>2</v>
      </c>
      <c r="H325" s="145">
        <f aca="true" t="shared" si="348" ref="H325:H359">IF(D325&lt;=19,2,3)</f>
        <v>2</v>
      </c>
      <c r="I325" s="146">
        <f aca="true" t="shared" si="349" ref="I325:I359">IF(D325&lt;=19,(D325-G325)*TAN($C$8*PI()/180),(19-G325)*TAN($C$8*PI()/180))</f>
        <v>5.770298949601782</v>
      </c>
      <c r="J325" s="147"/>
      <c r="K325" s="145">
        <f aca="true" t="shared" si="350" ref="K325:K359">IF(D325&lt;=19,0,(D325-19)*TAN($C$10*PI()/180))</f>
        <v>0</v>
      </c>
      <c r="L325" s="145">
        <f aca="true" t="shared" si="351" ref="L325:L359">+F325*(G325*1.5)</f>
        <v>6</v>
      </c>
      <c r="M325" s="145">
        <f aca="true" t="shared" si="352" ref="M325:M359">+F325*(D325-G325)</f>
        <v>15.04</v>
      </c>
      <c r="N325" s="145">
        <f aca="true" t="shared" si="353" ref="N325:N359">IF(D325&lt;=19,(D325-G325)*I325,(19-G325)*I325)</f>
        <v>43.39264810100539</v>
      </c>
      <c r="O325" s="145">
        <f aca="true" t="shared" si="354" ref="O325:O359">IF(D325&lt;=19,0,(I325*(D325-19)*2)+((K325)*(D325-19)))</f>
        <v>0</v>
      </c>
      <c r="P325" s="145">
        <f aca="true" t="shared" si="355" ref="P325:P359">+(5+F325+(2*(I325+K325)))*H325</f>
        <v>37.08119579840712</v>
      </c>
      <c r="Q325" s="147">
        <f aca="true" t="shared" si="356" ref="Q325:Q359">SUM(M325:P325)</f>
        <v>95.5138438994125</v>
      </c>
      <c r="R325" s="147"/>
      <c r="S325" s="128">
        <f aca="true" t="shared" si="357" ref="S325:S359">IF(D$6=1,(PI()*(C325-(2*D325)+(2*G325))*L325*0.1*0.01*7.85*0.001/(S$16*S$17)),0)</f>
        <v>0.19526977545432325</v>
      </c>
      <c r="T325" s="128">
        <f aca="true" t="shared" si="358" ref="T325:T359">IF(D$6=1,(PI()*(C325-(0.5*D325))*(Q325)*0.1*0.01*7.85*0.001/(T$16*T$17)),0)</f>
        <v>4.350635990632665</v>
      </c>
      <c r="U325" s="145">
        <f aca="true" t="shared" si="359" ref="U325:U359">IF(D$6=1,0,(PI()*(C325-(2*D325)+(2*G325))*L325*0.1*0.01*7.85*0.001/(U$16*U$17)))</f>
        <v>0</v>
      </c>
      <c r="V325" s="145">
        <f aca="true" t="shared" si="360" ref="V325:V359">IF(D$6=1,0,(PI()*(C325-(0.5*D325))*(Q325)*0.1*0.01*7.85*0.001/(V$16*V$17)))</f>
        <v>0</v>
      </c>
      <c r="W325" s="128">
        <f aca="true" t="shared" si="361" ref="W325:W359">SUM(U325:V325)</f>
        <v>0</v>
      </c>
      <c r="X325" t="str">
        <f t="shared" si="299"/>
        <v>389,52</v>
      </c>
      <c r="Y325" s="151">
        <f t="shared" si="300"/>
        <v>0.19526977545432325</v>
      </c>
      <c r="Z325" s="151">
        <f t="shared" si="301"/>
        <v>4.350635990632665</v>
      </c>
    </row>
    <row r="326" spans="1:26" ht="12.75">
      <c r="A326" s="141">
        <f>+'SMAW-SMAW'!A326</f>
        <v>309</v>
      </c>
      <c r="B326" s="142">
        <v>38</v>
      </c>
      <c r="C326" s="143">
        <f t="shared" si="346"/>
        <v>965.1999999999999</v>
      </c>
      <c r="D326" s="143">
        <v>12.7</v>
      </c>
      <c r="E326" s="144" t="s">
        <v>82</v>
      </c>
      <c r="F326" s="145">
        <f t="shared" si="332"/>
        <v>2</v>
      </c>
      <c r="G326" s="145">
        <f t="shared" si="347"/>
        <v>2</v>
      </c>
      <c r="H326" s="145">
        <f t="shared" si="348"/>
        <v>2</v>
      </c>
      <c r="I326" s="146">
        <f t="shared" si="349"/>
        <v>8.210398771374875</v>
      </c>
      <c r="J326" s="147"/>
      <c r="K326" s="145">
        <f t="shared" si="350"/>
        <v>0</v>
      </c>
      <c r="L326" s="145">
        <f t="shared" si="351"/>
        <v>6</v>
      </c>
      <c r="M326" s="145">
        <f t="shared" si="352"/>
        <v>21.4</v>
      </c>
      <c r="N326" s="145">
        <f t="shared" si="353"/>
        <v>87.85126685371115</v>
      </c>
      <c r="O326" s="145">
        <f t="shared" si="354"/>
        <v>0</v>
      </c>
      <c r="P326" s="145">
        <f t="shared" si="355"/>
        <v>46.8415950854995</v>
      </c>
      <c r="Q326" s="147">
        <f t="shared" si="356"/>
        <v>156.09286193921065</v>
      </c>
      <c r="R326" s="147"/>
      <c r="S326" s="128">
        <f t="shared" si="357"/>
        <v>0.1939627158307972</v>
      </c>
      <c r="T326" s="128">
        <f t="shared" si="358"/>
        <v>7.09822729274113</v>
      </c>
      <c r="U326" s="145">
        <f t="shared" si="359"/>
        <v>0</v>
      </c>
      <c r="V326" s="145">
        <f t="shared" si="360"/>
        <v>0</v>
      </c>
      <c r="W326" s="128">
        <f t="shared" si="361"/>
        <v>0</v>
      </c>
      <c r="X326" t="str">
        <f t="shared" si="299"/>
        <v>3812,7</v>
      </c>
      <c r="Y326" s="151">
        <f t="shared" si="300"/>
        <v>0.1939627158307972</v>
      </c>
      <c r="Z326" s="151">
        <f t="shared" si="301"/>
        <v>7.09822729274113</v>
      </c>
    </row>
    <row r="327" spans="1:26" ht="12.75">
      <c r="A327" s="141">
        <f>+'SMAW-SMAW'!A327</f>
        <v>310</v>
      </c>
      <c r="B327" s="142"/>
      <c r="C327" s="143"/>
      <c r="D327" s="143"/>
      <c r="E327" s="144"/>
      <c r="F327" s="145"/>
      <c r="G327" s="145"/>
      <c r="H327" s="145"/>
      <c r="I327" s="146"/>
      <c r="J327" s="147"/>
      <c r="K327" s="145"/>
      <c r="L327" s="145"/>
      <c r="M327" s="145"/>
      <c r="N327" s="145"/>
      <c r="O327" s="145"/>
      <c r="P327" s="145"/>
      <c r="Q327" s="147"/>
      <c r="R327" s="147"/>
      <c r="S327" s="128"/>
      <c r="T327" s="128"/>
      <c r="U327" s="145">
        <f t="shared" si="359"/>
        <v>0</v>
      </c>
      <c r="V327" s="145">
        <f t="shared" si="360"/>
        <v>0</v>
      </c>
      <c r="W327" s="128">
        <f t="shared" si="361"/>
        <v>0</v>
      </c>
      <c r="X327">
        <f t="shared" si="299"/>
      </c>
      <c r="Y327" s="151">
        <f t="shared" si="300"/>
        <v>0</v>
      </c>
      <c r="Z327" s="151">
        <f t="shared" si="301"/>
        <v>0</v>
      </c>
    </row>
    <row r="328" spans="1:26" ht="12.75">
      <c r="A328" s="141">
        <f>+'SMAW-SMAW'!A328</f>
        <v>311</v>
      </c>
      <c r="B328" s="142">
        <v>40</v>
      </c>
      <c r="C328" s="143">
        <f t="shared" si="346"/>
        <v>1016</v>
      </c>
      <c r="D328" s="143">
        <v>9.52</v>
      </c>
      <c r="E328" s="144" t="s">
        <v>86</v>
      </c>
      <c r="F328" s="145">
        <f t="shared" si="332"/>
        <v>2</v>
      </c>
      <c r="G328" s="145">
        <f t="shared" si="347"/>
        <v>2</v>
      </c>
      <c r="H328" s="145">
        <f t="shared" si="348"/>
        <v>2</v>
      </c>
      <c r="I328" s="146">
        <f t="shared" si="349"/>
        <v>5.770298949601782</v>
      </c>
      <c r="J328" s="147"/>
      <c r="K328" s="145">
        <f t="shared" si="350"/>
        <v>0</v>
      </c>
      <c r="L328" s="145">
        <f t="shared" si="351"/>
        <v>6</v>
      </c>
      <c r="M328" s="145">
        <f t="shared" si="352"/>
        <v>15.04</v>
      </c>
      <c r="N328" s="145">
        <f t="shared" si="353"/>
        <v>43.39264810100539</v>
      </c>
      <c r="O328" s="145">
        <f t="shared" si="354"/>
        <v>0</v>
      </c>
      <c r="P328" s="145">
        <f t="shared" si="355"/>
        <v>37.08119579840712</v>
      </c>
      <c r="Q328" s="147">
        <f t="shared" si="356"/>
        <v>95.5138438994125</v>
      </c>
      <c r="R328" s="147"/>
      <c r="S328" s="128">
        <f t="shared" si="357"/>
        <v>0.20570981144097772</v>
      </c>
      <c r="T328" s="128">
        <f t="shared" si="358"/>
        <v>4.580751675448103</v>
      </c>
      <c r="U328" s="145">
        <f t="shared" si="359"/>
        <v>0</v>
      </c>
      <c r="V328" s="145">
        <f t="shared" si="360"/>
        <v>0</v>
      </c>
      <c r="W328" s="128">
        <f t="shared" si="361"/>
        <v>0</v>
      </c>
      <c r="X328" t="str">
        <f t="shared" si="299"/>
        <v>409,52</v>
      </c>
      <c r="Y328" s="151">
        <f t="shared" si="300"/>
        <v>0.20570981144097772</v>
      </c>
      <c r="Z328" s="151">
        <f t="shared" si="301"/>
        <v>4.580751675448103</v>
      </c>
    </row>
    <row r="329" spans="1:26" ht="24" customHeight="1">
      <c r="A329" s="141">
        <f>+'SMAW-SMAW'!A329</f>
        <v>312</v>
      </c>
      <c r="B329" s="142">
        <v>40</v>
      </c>
      <c r="C329" s="143">
        <f t="shared" si="346"/>
        <v>1016</v>
      </c>
      <c r="D329" s="143">
        <v>12.7</v>
      </c>
      <c r="E329" s="144" t="s">
        <v>82</v>
      </c>
      <c r="F329" s="145">
        <f t="shared" si="332"/>
        <v>2</v>
      </c>
      <c r="G329" s="145">
        <f t="shared" si="347"/>
        <v>2</v>
      </c>
      <c r="H329" s="145">
        <f t="shared" si="348"/>
        <v>2</v>
      </c>
      <c r="I329" s="146">
        <f t="shared" si="349"/>
        <v>8.210398771374875</v>
      </c>
      <c r="J329" s="147"/>
      <c r="K329" s="145">
        <f t="shared" si="350"/>
        <v>0</v>
      </c>
      <c r="L329" s="145">
        <f t="shared" si="351"/>
        <v>6</v>
      </c>
      <c r="M329" s="145">
        <f t="shared" si="352"/>
        <v>21.4</v>
      </c>
      <c r="N329" s="145">
        <f t="shared" si="353"/>
        <v>87.85126685371115</v>
      </c>
      <c r="O329" s="145">
        <f t="shared" si="354"/>
        <v>0</v>
      </c>
      <c r="P329" s="145">
        <f t="shared" si="355"/>
        <v>46.8415950854995</v>
      </c>
      <c r="Q329" s="147">
        <f t="shared" si="356"/>
        <v>156.09286193921065</v>
      </c>
      <c r="R329" s="147"/>
      <c r="S329" s="128">
        <f t="shared" si="357"/>
        <v>0.20440275181745166</v>
      </c>
      <c r="T329" s="128">
        <f t="shared" si="358"/>
        <v>7.474292314873113</v>
      </c>
      <c r="U329" s="145">
        <f t="shared" si="359"/>
        <v>0</v>
      </c>
      <c r="V329" s="145">
        <f t="shared" si="360"/>
        <v>0</v>
      </c>
      <c r="W329" s="128">
        <f t="shared" si="361"/>
        <v>0</v>
      </c>
      <c r="X329" t="str">
        <f t="shared" si="299"/>
        <v>4012,7</v>
      </c>
      <c r="Y329" s="151">
        <f t="shared" si="300"/>
        <v>0.20440275181745166</v>
      </c>
      <c r="Z329" s="151">
        <f t="shared" si="301"/>
        <v>7.474292314873113</v>
      </c>
    </row>
    <row r="330" spans="1:26" ht="26.25" customHeight="1">
      <c r="A330" s="141">
        <f>+'SMAW-SMAW'!A330</f>
        <v>313</v>
      </c>
      <c r="B330" s="142"/>
      <c r="C330" s="143"/>
      <c r="D330" s="143"/>
      <c r="E330" s="144"/>
      <c r="F330" s="145">
        <f t="shared" si="332"/>
        <v>2</v>
      </c>
      <c r="G330" s="145">
        <f t="shared" si="347"/>
        <v>0</v>
      </c>
      <c r="H330" s="145">
        <f t="shared" si="348"/>
        <v>2</v>
      </c>
      <c r="I330" s="146">
        <f t="shared" si="349"/>
        <v>0</v>
      </c>
      <c r="J330" s="147"/>
      <c r="K330" s="145">
        <f t="shared" si="350"/>
        <v>0</v>
      </c>
      <c r="L330" s="145">
        <f t="shared" si="351"/>
        <v>0</v>
      </c>
      <c r="M330" s="145">
        <f t="shared" si="352"/>
        <v>0</v>
      </c>
      <c r="N330" s="145">
        <f t="shared" si="353"/>
        <v>0</v>
      </c>
      <c r="O330" s="145">
        <f t="shared" si="354"/>
        <v>0</v>
      </c>
      <c r="P330" s="145">
        <f t="shared" si="355"/>
        <v>14</v>
      </c>
      <c r="Q330" s="147">
        <f t="shared" si="356"/>
        <v>14</v>
      </c>
      <c r="R330" s="147"/>
      <c r="S330" s="128">
        <f t="shared" si="357"/>
        <v>0</v>
      </c>
      <c r="T330" s="128">
        <f t="shared" si="358"/>
        <v>0</v>
      </c>
      <c r="U330" s="145">
        <f t="shared" si="359"/>
        <v>0</v>
      </c>
      <c r="V330" s="145">
        <f t="shared" si="360"/>
        <v>0</v>
      </c>
      <c r="W330" s="128">
        <f t="shared" si="361"/>
        <v>0</v>
      </c>
      <c r="X330">
        <f t="shared" si="299"/>
      </c>
      <c r="Y330" s="151">
        <f t="shared" si="300"/>
        <v>0</v>
      </c>
      <c r="Z330" s="151">
        <f t="shared" si="301"/>
        <v>0</v>
      </c>
    </row>
    <row r="331" spans="1:26" ht="12.75">
      <c r="A331" s="141">
        <f>+'SMAW-SMAW'!A331</f>
        <v>314</v>
      </c>
      <c r="B331" s="142">
        <v>42</v>
      </c>
      <c r="C331" s="143">
        <f t="shared" si="346"/>
        <v>1066.8</v>
      </c>
      <c r="D331" s="143">
        <v>9.52</v>
      </c>
      <c r="E331" s="144" t="s">
        <v>86</v>
      </c>
      <c r="F331" s="145">
        <f t="shared" si="332"/>
        <v>2</v>
      </c>
      <c r="G331" s="145">
        <f t="shared" si="347"/>
        <v>2</v>
      </c>
      <c r="H331" s="145">
        <f t="shared" si="348"/>
        <v>2</v>
      </c>
      <c r="I331" s="146">
        <f t="shared" si="349"/>
        <v>5.770298949601782</v>
      </c>
      <c r="J331" s="147"/>
      <c r="K331" s="145">
        <f t="shared" si="350"/>
        <v>0</v>
      </c>
      <c r="L331" s="145">
        <f t="shared" si="351"/>
        <v>6</v>
      </c>
      <c r="M331" s="145">
        <f t="shared" si="352"/>
        <v>15.04</v>
      </c>
      <c r="N331" s="145">
        <f t="shared" si="353"/>
        <v>43.39264810100539</v>
      </c>
      <c r="O331" s="145">
        <f t="shared" si="354"/>
        <v>0</v>
      </c>
      <c r="P331" s="145">
        <f t="shared" si="355"/>
        <v>37.08119579840712</v>
      </c>
      <c r="Q331" s="147">
        <f t="shared" si="356"/>
        <v>95.5138438994125</v>
      </c>
      <c r="R331" s="147"/>
      <c r="S331" s="128">
        <f t="shared" si="357"/>
        <v>0.2161498474276322</v>
      </c>
      <c r="T331" s="128">
        <f t="shared" si="358"/>
        <v>4.810867360263541</v>
      </c>
      <c r="U331" s="145">
        <f t="shared" si="359"/>
        <v>0</v>
      </c>
      <c r="V331" s="145">
        <f t="shared" si="360"/>
        <v>0</v>
      </c>
      <c r="W331" s="128">
        <f t="shared" si="361"/>
        <v>0</v>
      </c>
      <c r="X331" t="str">
        <f t="shared" si="299"/>
        <v>429,52</v>
      </c>
      <c r="Y331" s="151">
        <f t="shared" si="300"/>
        <v>0.2161498474276322</v>
      </c>
      <c r="Z331" s="151">
        <f t="shared" si="301"/>
        <v>4.810867360263541</v>
      </c>
    </row>
    <row r="332" spans="1:26" ht="12.75">
      <c r="A332" s="141">
        <f>+'SMAW-SMAW'!A332</f>
        <v>315</v>
      </c>
      <c r="B332" s="142">
        <v>42</v>
      </c>
      <c r="C332" s="143">
        <f t="shared" si="346"/>
        <v>1066.8</v>
      </c>
      <c r="D332" s="143">
        <v>12.7</v>
      </c>
      <c r="E332" s="144" t="s">
        <v>82</v>
      </c>
      <c r="F332" s="145">
        <f t="shared" si="332"/>
        <v>2</v>
      </c>
      <c r="G332" s="145">
        <f t="shared" si="347"/>
        <v>2</v>
      </c>
      <c r="H332" s="145">
        <f t="shared" si="348"/>
        <v>2</v>
      </c>
      <c r="I332" s="146">
        <f t="shared" si="349"/>
        <v>8.210398771374875</v>
      </c>
      <c r="J332" s="147"/>
      <c r="K332" s="145">
        <f t="shared" si="350"/>
        <v>0</v>
      </c>
      <c r="L332" s="145">
        <f t="shared" si="351"/>
        <v>6</v>
      </c>
      <c r="M332" s="145">
        <f t="shared" si="352"/>
        <v>21.4</v>
      </c>
      <c r="N332" s="145">
        <f t="shared" si="353"/>
        <v>87.85126685371115</v>
      </c>
      <c r="O332" s="145">
        <f t="shared" si="354"/>
        <v>0</v>
      </c>
      <c r="P332" s="145">
        <f t="shared" si="355"/>
        <v>46.8415950854995</v>
      </c>
      <c r="Q332" s="147">
        <f t="shared" si="356"/>
        <v>156.09286193921065</v>
      </c>
      <c r="R332" s="147"/>
      <c r="S332" s="128">
        <f t="shared" si="357"/>
        <v>0.21484278780410615</v>
      </c>
      <c r="T332" s="128">
        <f t="shared" si="358"/>
        <v>7.850357337005093</v>
      </c>
      <c r="U332" s="145">
        <f t="shared" si="359"/>
        <v>0</v>
      </c>
      <c r="V332" s="145">
        <f t="shared" si="360"/>
        <v>0</v>
      </c>
      <c r="W332" s="128">
        <f t="shared" si="361"/>
        <v>0</v>
      </c>
      <c r="X332" t="str">
        <f t="shared" si="299"/>
        <v>4212,7</v>
      </c>
      <c r="Y332" s="151">
        <f t="shared" si="300"/>
        <v>0.21484278780410615</v>
      </c>
      <c r="Z332" s="151">
        <f t="shared" si="301"/>
        <v>7.850357337005093</v>
      </c>
    </row>
    <row r="333" spans="1:26" ht="12.75">
      <c r="A333" s="141">
        <f>+'SMAW-SMAW'!A333</f>
        <v>316</v>
      </c>
      <c r="B333" s="142"/>
      <c r="C333" s="143"/>
      <c r="D333" s="143"/>
      <c r="E333" s="144"/>
      <c r="F333" s="145">
        <f t="shared" si="332"/>
        <v>2</v>
      </c>
      <c r="G333" s="145">
        <f t="shared" si="347"/>
        <v>0</v>
      </c>
      <c r="H333" s="145">
        <f t="shared" si="348"/>
        <v>2</v>
      </c>
      <c r="I333" s="146">
        <f t="shared" si="349"/>
        <v>0</v>
      </c>
      <c r="J333" s="147"/>
      <c r="K333" s="145">
        <f t="shared" si="350"/>
        <v>0</v>
      </c>
      <c r="L333" s="145">
        <f t="shared" si="351"/>
        <v>0</v>
      </c>
      <c r="M333" s="145">
        <f t="shared" si="352"/>
        <v>0</v>
      </c>
      <c r="N333" s="145">
        <f t="shared" si="353"/>
        <v>0</v>
      </c>
      <c r="O333" s="145">
        <f t="shared" si="354"/>
        <v>0</v>
      </c>
      <c r="P333" s="145">
        <f t="shared" si="355"/>
        <v>14</v>
      </c>
      <c r="Q333" s="147">
        <f t="shared" si="356"/>
        <v>14</v>
      </c>
      <c r="R333" s="147"/>
      <c r="S333" s="128">
        <f t="shared" si="357"/>
        <v>0</v>
      </c>
      <c r="T333" s="128">
        <f t="shared" si="358"/>
        <v>0</v>
      </c>
      <c r="U333" s="145">
        <f t="shared" si="359"/>
        <v>0</v>
      </c>
      <c r="V333" s="145">
        <f t="shared" si="360"/>
        <v>0</v>
      </c>
      <c r="W333" s="128">
        <f t="shared" si="361"/>
        <v>0</v>
      </c>
      <c r="X333">
        <f t="shared" si="299"/>
      </c>
      <c r="Y333" s="151">
        <f t="shared" si="300"/>
        <v>0</v>
      </c>
      <c r="Z333" s="151">
        <f t="shared" si="301"/>
        <v>0</v>
      </c>
    </row>
    <row r="334" spans="1:26" ht="12.75">
      <c r="A334" s="141">
        <f>+'SMAW-SMAW'!A334</f>
        <v>317</v>
      </c>
      <c r="B334" s="142">
        <v>44</v>
      </c>
      <c r="C334" s="143">
        <f t="shared" si="346"/>
        <v>1117.6</v>
      </c>
      <c r="D334" s="143">
        <v>9.52</v>
      </c>
      <c r="E334" s="144" t="s">
        <v>86</v>
      </c>
      <c r="F334" s="145">
        <f t="shared" si="332"/>
        <v>2</v>
      </c>
      <c r="G334" s="145">
        <f t="shared" si="347"/>
        <v>2</v>
      </c>
      <c r="H334" s="145">
        <f t="shared" si="348"/>
        <v>2</v>
      </c>
      <c r="I334" s="146">
        <f t="shared" si="349"/>
        <v>5.770298949601782</v>
      </c>
      <c r="J334" s="147"/>
      <c r="K334" s="145">
        <f t="shared" si="350"/>
        <v>0</v>
      </c>
      <c r="L334" s="145">
        <f t="shared" si="351"/>
        <v>6</v>
      </c>
      <c r="M334" s="145">
        <f t="shared" si="352"/>
        <v>15.04</v>
      </c>
      <c r="N334" s="145">
        <f t="shared" si="353"/>
        <v>43.39264810100539</v>
      </c>
      <c r="O334" s="145">
        <f t="shared" si="354"/>
        <v>0</v>
      </c>
      <c r="P334" s="145">
        <f t="shared" si="355"/>
        <v>37.08119579840712</v>
      </c>
      <c r="Q334" s="147">
        <f t="shared" si="356"/>
        <v>95.5138438994125</v>
      </c>
      <c r="R334" s="147"/>
      <c r="S334" s="128">
        <f t="shared" si="357"/>
        <v>0.22658988341428668</v>
      </c>
      <c r="T334" s="128">
        <f t="shared" si="358"/>
        <v>5.040983045078979</v>
      </c>
      <c r="U334" s="145">
        <f t="shared" si="359"/>
        <v>0</v>
      </c>
      <c r="V334" s="145">
        <f t="shared" si="360"/>
        <v>0</v>
      </c>
      <c r="W334" s="128">
        <f t="shared" si="361"/>
        <v>0</v>
      </c>
      <c r="X334" t="str">
        <f t="shared" si="299"/>
        <v>449,52</v>
      </c>
      <c r="Y334" s="151">
        <f t="shared" si="300"/>
        <v>0.22658988341428668</v>
      </c>
      <c r="Z334" s="151">
        <f t="shared" si="301"/>
        <v>5.040983045078979</v>
      </c>
    </row>
    <row r="335" spans="1:26" ht="12.75">
      <c r="A335" s="141">
        <f>+'SMAW-SMAW'!A335</f>
        <v>318</v>
      </c>
      <c r="B335" s="142">
        <v>44</v>
      </c>
      <c r="C335" s="143">
        <f t="shared" si="346"/>
        <v>1117.6</v>
      </c>
      <c r="D335" s="143">
        <v>12.7</v>
      </c>
      <c r="E335" s="144" t="s">
        <v>82</v>
      </c>
      <c r="F335" s="145">
        <f t="shared" si="332"/>
        <v>2</v>
      </c>
      <c r="G335" s="145">
        <f t="shared" si="347"/>
        <v>2</v>
      </c>
      <c r="H335" s="145">
        <f t="shared" si="348"/>
        <v>2</v>
      </c>
      <c r="I335" s="146">
        <f t="shared" si="349"/>
        <v>8.210398771374875</v>
      </c>
      <c r="J335" s="147"/>
      <c r="K335" s="145">
        <f t="shared" si="350"/>
        <v>0</v>
      </c>
      <c r="L335" s="145">
        <f t="shared" si="351"/>
        <v>6</v>
      </c>
      <c r="M335" s="145">
        <f t="shared" si="352"/>
        <v>21.4</v>
      </c>
      <c r="N335" s="145">
        <f t="shared" si="353"/>
        <v>87.85126685371115</v>
      </c>
      <c r="O335" s="145">
        <f t="shared" si="354"/>
        <v>0</v>
      </c>
      <c r="P335" s="145">
        <f t="shared" si="355"/>
        <v>46.8415950854995</v>
      </c>
      <c r="Q335" s="147">
        <f t="shared" si="356"/>
        <v>156.09286193921065</v>
      </c>
      <c r="R335" s="147"/>
      <c r="S335" s="128">
        <f t="shared" si="357"/>
        <v>0.22528282379076062</v>
      </c>
      <c r="T335" s="128">
        <f t="shared" si="358"/>
        <v>8.226422359137075</v>
      </c>
      <c r="U335" s="145">
        <f t="shared" si="359"/>
        <v>0</v>
      </c>
      <c r="V335" s="145">
        <f t="shared" si="360"/>
        <v>0</v>
      </c>
      <c r="W335" s="128">
        <f t="shared" si="361"/>
        <v>0</v>
      </c>
      <c r="X335" t="str">
        <f t="shared" si="299"/>
        <v>4412,7</v>
      </c>
      <c r="Y335" s="151">
        <f t="shared" si="300"/>
        <v>0.22528282379076062</v>
      </c>
      <c r="Z335" s="151">
        <f t="shared" si="301"/>
        <v>8.226422359137075</v>
      </c>
    </row>
    <row r="336" spans="1:26" ht="12.75">
      <c r="A336" s="141">
        <f>+'SMAW-SMAW'!A336</f>
        <v>319</v>
      </c>
      <c r="B336" s="142"/>
      <c r="C336" s="143"/>
      <c r="D336" s="143"/>
      <c r="E336" s="144"/>
      <c r="F336" s="145">
        <f t="shared" si="332"/>
        <v>2</v>
      </c>
      <c r="G336" s="145">
        <f t="shared" si="347"/>
        <v>0</v>
      </c>
      <c r="H336" s="145">
        <f t="shared" si="348"/>
        <v>2</v>
      </c>
      <c r="I336" s="146">
        <f t="shared" si="349"/>
        <v>0</v>
      </c>
      <c r="J336" s="147"/>
      <c r="K336" s="145">
        <f t="shared" si="350"/>
        <v>0</v>
      </c>
      <c r="L336" s="145">
        <f t="shared" si="351"/>
        <v>0</v>
      </c>
      <c r="M336" s="145">
        <f t="shared" si="352"/>
        <v>0</v>
      </c>
      <c r="N336" s="145">
        <f t="shared" si="353"/>
        <v>0</v>
      </c>
      <c r="O336" s="145">
        <f t="shared" si="354"/>
        <v>0</v>
      </c>
      <c r="P336" s="145">
        <f t="shared" si="355"/>
        <v>14</v>
      </c>
      <c r="Q336" s="147">
        <f t="shared" si="356"/>
        <v>14</v>
      </c>
      <c r="R336" s="147"/>
      <c r="S336" s="128">
        <f t="shared" si="357"/>
        <v>0</v>
      </c>
      <c r="T336" s="128">
        <f t="shared" si="358"/>
        <v>0</v>
      </c>
      <c r="U336" s="145">
        <f t="shared" si="359"/>
        <v>0</v>
      </c>
      <c r="V336" s="145">
        <f t="shared" si="360"/>
        <v>0</v>
      </c>
      <c r="W336" s="128">
        <f t="shared" si="361"/>
        <v>0</v>
      </c>
      <c r="X336">
        <f t="shared" si="299"/>
      </c>
      <c r="Y336" s="151">
        <f t="shared" si="300"/>
        <v>0</v>
      </c>
      <c r="Z336" s="151">
        <f t="shared" si="301"/>
        <v>0</v>
      </c>
    </row>
    <row r="337" spans="1:26" ht="12.75">
      <c r="A337" s="141">
        <f>+'SMAW-SMAW'!A337</f>
        <v>320</v>
      </c>
      <c r="B337" s="142">
        <v>46</v>
      </c>
      <c r="C337" s="143">
        <f t="shared" si="346"/>
        <v>1168.3999999999999</v>
      </c>
      <c r="D337" s="143">
        <v>9.52</v>
      </c>
      <c r="E337" s="144" t="s">
        <v>86</v>
      </c>
      <c r="F337" s="145">
        <f t="shared" si="332"/>
        <v>2</v>
      </c>
      <c r="G337" s="145">
        <f t="shared" si="347"/>
        <v>2</v>
      </c>
      <c r="H337" s="145">
        <f t="shared" si="348"/>
        <v>2</v>
      </c>
      <c r="I337" s="146">
        <f t="shared" si="349"/>
        <v>5.770298949601782</v>
      </c>
      <c r="J337" s="147"/>
      <c r="K337" s="145">
        <f t="shared" si="350"/>
        <v>0</v>
      </c>
      <c r="L337" s="145">
        <f t="shared" si="351"/>
        <v>6</v>
      </c>
      <c r="M337" s="145">
        <f t="shared" si="352"/>
        <v>15.04</v>
      </c>
      <c r="N337" s="145">
        <f t="shared" si="353"/>
        <v>43.39264810100539</v>
      </c>
      <c r="O337" s="145">
        <f t="shared" si="354"/>
        <v>0</v>
      </c>
      <c r="P337" s="145">
        <f t="shared" si="355"/>
        <v>37.08119579840712</v>
      </c>
      <c r="Q337" s="147">
        <f t="shared" si="356"/>
        <v>95.5138438994125</v>
      </c>
      <c r="R337" s="147"/>
      <c r="S337" s="128">
        <f t="shared" si="357"/>
        <v>0.2370299194009411</v>
      </c>
      <c r="T337" s="128">
        <f t="shared" si="358"/>
        <v>5.271098729894417</v>
      </c>
      <c r="U337" s="145">
        <f t="shared" si="359"/>
        <v>0</v>
      </c>
      <c r="V337" s="145">
        <f t="shared" si="360"/>
        <v>0</v>
      </c>
      <c r="W337" s="128">
        <f t="shared" si="361"/>
        <v>0</v>
      </c>
      <c r="X337" t="str">
        <f t="shared" si="299"/>
        <v>469,52</v>
      </c>
      <c r="Y337" s="151">
        <f t="shared" si="300"/>
        <v>0.2370299194009411</v>
      </c>
      <c r="Z337" s="151">
        <f t="shared" si="301"/>
        <v>5.271098729894417</v>
      </c>
    </row>
    <row r="338" spans="1:26" ht="12.75">
      <c r="A338" s="141">
        <f>+'SMAW-SMAW'!A338</f>
        <v>321</v>
      </c>
      <c r="B338" s="142">
        <v>46</v>
      </c>
      <c r="C338" s="143">
        <f t="shared" si="346"/>
        <v>1168.3999999999999</v>
      </c>
      <c r="D338" s="143">
        <v>12.7</v>
      </c>
      <c r="E338" s="144" t="s">
        <v>82</v>
      </c>
      <c r="F338" s="145">
        <f t="shared" si="332"/>
        <v>2</v>
      </c>
      <c r="G338" s="145">
        <f t="shared" si="347"/>
        <v>2</v>
      </c>
      <c r="H338" s="145">
        <f t="shared" si="348"/>
        <v>2</v>
      </c>
      <c r="I338" s="146">
        <f t="shared" si="349"/>
        <v>8.210398771374875</v>
      </c>
      <c r="J338" s="147"/>
      <c r="K338" s="145">
        <f t="shared" si="350"/>
        <v>0</v>
      </c>
      <c r="L338" s="145">
        <f t="shared" si="351"/>
        <v>6</v>
      </c>
      <c r="M338" s="145">
        <f t="shared" si="352"/>
        <v>21.4</v>
      </c>
      <c r="N338" s="145">
        <f t="shared" si="353"/>
        <v>87.85126685371115</v>
      </c>
      <c r="O338" s="145">
        <f t="shared" si="354"/>
        <v>0</v>
      </c>
      <c r="P338" s="145">
        <f t="shared" si="355"/>
        <v>46.8415950854995</v>
      </c>
      <c r="Q338" s="147">
        <f t="shared" si="356"/>
        <v>156.09286193921065</v>
      </c>
      <c r="R338" s="147"/>
      <c r="S338" s="128">
        <f t="shared" si="357"/>
        <v>0.2357228597774151</v>
      </c>
      <c r="T338" s="128">
        <f t="shared" si="358"/>
        <v>8.602487381269054</v>
      </c>
      <c r="U338" s="145">
        <f t="shared" si="359"/>
        <v>0</v>
      </c>
      <c r="V338" s="145">
        <f t="shared" si="360"/>
        <v>0</v>
      </c>
      <c r="W338" s="128">
        <f t="shared" si="361"/>
        <v>0</v>
      </c>
      <c r="X338" t="str">
        <f t="shared" si="299"/>
        <v>4612,7</v>
      </c>
      <c r="Y338" s="151">
        <f t="shared" si="300"/>
        <v>0.2357228597774151</v>
      </c>
      <c r="Z338" s="151">
        <f t="shared" si="301"/>
        <v>8.602487381269054</v>
      </c>
    </row>
    <row r="339" spans="1:26" ht="12.75">
      <c r="A339" s="141">
        <f>+'SMAW-SMAW'!A339</f>
        <v>322</v>
      </c>
      <c r="B339" s="142"/>
      <c r="C339" s="143"/>
      <c r="D339" s="143"/>
      <c r="E339" s="144"/>
      <c r="F339" s="145">
        <f t="shared" si="332"/>
        <v>2</v>
      </c>
      <c r="G339" s="145">
        <f t="shared" si="347"/>
        <v>0</v>
      </c>
      <c r="H339" s="145">
        <f t="shared" si="348"/>
        <v>2</v>
      </c>
      <c r="I339" s="146">
        <f t="shared" si="349"/>
        <v>0</v>
      </c>
      <c r="J339" s="147"/>
      <c r="K339" s="145">
        <f t="shared" si="350"/>
        <v>0</v>
      </c>
      <c r="L339" s="145">
        <f t="shared" si="351"/>
        <v>0</v>
      </c>
      <c r="M339" s="145">
        <f t="shared" si="352"/>
        <v>0</v>
      </c>
      <c r="N339" s="145">
        <f t="shared" si="353"/>
        <v>0</v>
      </c>
      <c r="O339" s="145">
        <f t="shared" si="354"/>
        <v>0</v>
      </c>
      <c r="P339" s="145">
        <f t="shared" si="355"/>
        <v>14</v>
      </c>
      <c r="Q339" s="147">
        <f t="shared" si="356"/>
        <v>14</v>
      </c>
      <c r="R339" s="147"/>
      <c r="S339" s="128">
        <f t="shared" si="357"/>
        <v>0</v>
      </c>
      <c r="T339" s="128">
        <f t="shared" si="358"/>
        <v>0</v>
      </c>
      <c r="U339" s="145">
        <f t="shared" si="359"/>
        <v>0</v>
      </c>
      <c r="V339" s="145">
        <f t="shared" si="360"/>
        <v>0</v>
      </c>
      <c r="W339" s="128">
        <f t="shared" si="361"/>
        <v>0</v>
      </c>
      <c r="X339">
        <f t="shared" si="299"/>
      </c>
      <c r="Y339" s="151">
        <f t="shared" si="300"/>
        <v>0</v>
      </c>
      <c r="Z339" s="151">
        <f t="shared" si="301"/>
        <v>0</v>
      </c>
    </row>
    <row r="340" spans="1:26" ht="12.75">
      <c r="A340" s="141">
        <f>+'SMAW-SMAW'!A340</f>
        <v>323</v>
      </c>
      <c r="B340" s="142">
        <v>48</v>
      </c>
      <c r="C340" s="143">
        <f>25.4*B340</f>
        <v>1219.1999999999998</v>
      </c>
      <c r="D340" s="143">
        <v>9.52</v>
      </c>
      <c r="E340" s="144" t="s">
        <v>86</v>
      </c>
      <c r="F340" s="145">
        <f t="shared" si="332"/>
        <v>2</v>
      </c>
      <c r="G340" s="145">
        <f t="shared" si="347"/>
        <v>2</v>
      </c>
      <c r="H340" s="145">
        <f t="shared" si="348"/>
        <v>2</v>
      </c>
      <c r="I340" s="146">
        <f t="shared" si="349"/>
        <v>5.770298949601782</v>
      </c>
      <c r="J340" s="147"/>
      <c r="K340" s="145">
        <f t="shared" si="350"/>
        <v>0</v>
      </c>
      <c r="L340" s="145">
        <f t="shared" si="351"/>
        <v>6</v>
      </c>
      <c r="M340" s="145">
        <f t="shared" si="352"/>
        <v>15.04</v>
      </c>
      <c r="N340" s="145">
        <f t="shared" si="353"/>
        <v>43.39264810100539</v>
      </c>
      <c r="O340" s="145">
        <f t="shared" si="354"/>
        <v>0</v>
      </c>
      <c r="P340" s="145">
        <f t="shared" si="355"/>
        <v>37.08119579840712</v>
      </c>
      <c r="Q340" s="147">
        <f t="shared" si="356"/>
        <v>95.5138438994125</v>
      </c>
      <c r="R340" s="147"/>
      <c r="S340" s="128">
        <f t="shared" si="357"/>
        <v>0.24746995538759564</v>
      </c>
      <c r="T340" s="128">
        <f t="shared" si="358"/>
        <v>5.501214414709853</v>
      </c>
      <c r="U340" s="145">
        <f t="shared" si="359"/>
        <v>0</v>
      </c>
      <c r="V340" s="145">
        <f t="shared" si="360"/>
        <v>0</v>
      </c>
      <c r="W340" s="128">
        <f t="shared" si="361"/>
        <v>0</v>
      </c>
      <c r="X340" t="str">
        <f t="shared" si="299"/>
        <v>489,52</v>
      </c>
      <c r="Y340" s="151">
        <f t="shared" si="300"/>
        <v>0.24746995538759564</v>
      </c>
      <c r="Z340" s="151">
        <f t="shared" si="301"/>
        <v>5.501214414709853</v>
      </c>
    </row>
    <row r="341" spans="1:26" ht="12.75">
      <c r="A341" s="141">
        <f>+'SMAW-SMAW'!A341</f>
        <v>324</v>
      </c>
      <c r="B341" s="142">
        <v>48</v>
      </c>
      <c r="C341" s="143">
        <f>25.4*B341</f>
        <v>1219.1999999999998</v>
      </c>
      <c r="D341" s="143">
        <v>12.7</v>
      </c>
      <c r="E341" s="144" t="s">
        <v>82</v>
      </c>
      <c r="F341" s="145">
        <f t="shared" si="332"/>
        <v>2</v>
      </c>
      <c r="G341" s="145">
        <f t="shared" si="347"/>
        <v>2</v>
      </c>
      <c r="H341" s="145">
        <f t="shared" si="348"/>
        <v>2</v>
      </c>
      <c r="I341" s="146">
        <f t="shared" si="349"/>
        <v>8.210398771374875</v>
      </c>
      <c r="J341" s="147"/>
      <c r="K341" s="145">
        <f t="shared" si="350"/>
        <v>0</v>
      </c>
      <c r="L341" s="145">
        <f t="shared" si="351"/>
        <v>6</v>
      </c>
      <c r="M341" s="145">
        <f t="shared" si="352"/>
        <v>21.4</v>
      </c>
      <c r="N341" s="145">
        <f t="shared" si="353"/>
        <v>87.85126685371115</v>
      </c>
      <c r="O341" s="145">
        <f t="shared" si="354"/>
        <v>0</v>
      </c>
      <c r="P341" s="145">
        <f t="shared" si="355"/>
        <v>46.8415950854995</v>
      </c>
      <c r="Q341" s="147">
        <f t="shared" si="356"/>
        <v>156.09286193921065</v>
      </c>
      <c r="R341" s="147"/>
      <c r="S341" s="128">
        <f t="shared" si="357"/>
        <v>0.24616289576406952</v>
      </c>
      <c r="T341" s="128">
        <f t="shared" si="358"/>
        <v>8.978552403401034</v>
      </c>
      <c r="U341" s="145">
        <f t="shared" si="359"/>
        <v>0</v>
      </c>
      <c r="V341" s="145">
        <f t="shared" si="360"/>
        <v>0</v>
      </c>
      <c r="W341" s="128">
        <f t="shared" si="361"/>
        <v>0</v>
      </c>
      <c r="X341" t="str">
        <f t="shared" si="299"/>
        <v>4812,7</v>
      </c>
      <c r="Y341" s="151">
        <f t="shared" si="300"/>
        <v>0.24616289576406952</v>
      </c>
      <c r="Z341" s="151">
        <f t="shared" si="301"/>
        <v>8.978552403401034</v>
      </c>
    </row>
    <row r="342" spans="1:26" ht="12.75">
      <c r="A342" s="141">
        <f>+'SMAW-SMAW'!A342</f>
        <v>325</v>
      </c>
      <c r="B342" s="142"/>
      <c r="C342" s="143"/>
      <c r="D342" s="143"/>
      <c r="E342" s="144"/>
      <c r="F342" s="145">
        <f t="shared" si="332"/>
        <v>2</v>
      </c>
      <c r="G342" s="145">
        <f t="shared" si="347"/>
        <v>0</v>
      </c>
      <c r="H342" s="145">
        <f t="shared" si="348"/>
        <v>2</v>
      </c>
      <c r="I342" s="146">
        <f t="shared" si="349"/>
        <v>0</v>
      </c>
      <c r="J342" s="147"/>
      <c r="K342" s="145">
        <f t="shared" si="350"/>
        <v>0</v>
      </c>
      <c r="L342" s="145">
        <f t="shared" si="351"/>
        <v>0</v>
      </c>
      <c r="M342" s="145">
        <f t="shared" si="352"/>
        <v>0</v>
      </c>
      <c r="N342" s="145">
        <f t="shared" si="353"/>
        <v>0</v>
      </c>
      <c r="O342" s="145">
        <f t="shared" si="354"/>
        <v>0</v>
      </c>
      <c r="P342" s="145">
        <f t="shared" si="355"/>
        <v>14</v>
      </c>
      <c r="Q342" s="147">
        <f t="shared" si="356"/>
        <v>14</v>
      </c>
      <c r="R342" s="147"/>
      <c r="S342" s="128">
        <f t="shared" si="357"/>
        <v>0</v>
      </c>
      <c r="T342" s="128">
        <f t="shared" si="358"/>
        <v>0</v>
      </c>
      <c r="U342" s="145">
        <f t="shared" si="359"/>
        <v>0</v>
      </c>
      <c r="V342" s="145">
        <f t="shared" si="360"/>
        <v>0</v>
      </c>
      <c r="W342" s="128">
        <f t="shared" si="361"/>
        <v>0</v>
      </c>
      <c r="X342">
        <f t="shared" si="299"/>
      </c>
      <c r="Y342" s="151">
        <f t="shared" si="300"/>
        <v>0</v>
      </c>
      <c r="Z342" s="151">
        <f t="shared" si="301"/>
        <v>0</v>
      </c>
    </row>
    <row r="343" spans="1:26" ht="12.75">
      <c r="A343" s="141">
        <f>+'SMAW-SMAW'!A343</f>
        <v>326</v>
      </c>
      <c r="B343" s="142">
        <v>50</v>
      </c>
      <c r="C343" s="143">
        <f aca="true" t="shared" si="362" ref="C343:C353">25.4*B343</f>
        <v>1270</v>
      </c>
      <c r="D343" s="143">
        <v>9.52</v>
      </c>
      <c r="E343" s="144" t="s">
        <v>86</v>
      </c>
      <c r="F343" s="145">
        <f t="shared" si="332"/>
        <v>2</v>
      </c>
      <c r="G343" s="145">
        <f t="shared" si="347"/>
        <v>2</v>
      </c>
      <c r="H343" s="145">
        <f t="shared" si="348"/>
        <v>2</v>
      </c>
      <c r="I343" s="146">
        <f t="shared" si="349"/>
        <v>5.770298949601782</v>
      </c>
      <c r="J343" s="147"/>
      <c r="K343" s="145">
        <f t="shared" si="350"/>
        <v>0</v>
      </c>
      <c r="L343" s="145">
        <f t="shared" si="351"/>
        <v>6</v>
      </c>
      <c r="M343" s="145">
        <f t="shared" si="352"/>
        <v>15.04</v>
      </c>
      <c r="N343" s="145">
        <f t="shared" si="353"/>
        <v>43.39264810100539</v>
      </c>
      <c r="O343" s="145">
        <f t="shared" si="354"/>
        <v>0</v>
      </c>
      <c r="P343" s="145">
        <f t="shared" si="355"/>
        <v>37.08119579840712</v>
      </c>
      <c r="Q343" s="147">
        <f t="shared" si="356"/>
        <v>95.5138438994125</v>
      </c>
      <c r="R343" s="147"/>
      <c r="S343" s="128">
        <f t="shared" si="357"/>
        <v>0.25790999137425014</v>
      </c>
      <c r="T343" s="128">
        <f t="shared" si="358"/>
        <v>5.731330099525294</v>
      </c>
      <c r="U343" s="145">
        <f t="shared" si="359"/>
        <v>0</v>
      </c>
      <c r="V343" s="145">
        <f t="shared" si="360"/>
        <v>0</v>
      </c>
      <c r="W343" s="128">
        <f t="shared" si="361"/>
        <v>0</v>
      </c>
      <c r="X343" t="str">
        <f t="shared" si="299"/>
        <v>509,52</v>
      </c>
      <c r="Y343" s="151">
        <f t="shared" si="300"/>
        <v>0.25790999137425014</v>
      </c>
      <c r="Z343" s="151">
        <f t="shared" si="301"/>
        <v>5.731330099525294</v>
      </c>
    </row>
    <row r="344" spans="1:26" ht="12.75">
      <c r="A344" s="141">
        <f>+'SMAW-SMAW'!A344</f>
        <v>327</v>
      </c>
      <c r="B344" s="142">
        <v>50</v>
      </c>
      <c r="C344" s="143">
        <f t="shared" si="362"/>
        <v>1270</v>
      </c>
      <c r="D344" s="143">
        <v>12.7</v>
      </c>
      <c r="E344" s="144" t="s">
        <v>82</v>
      </c>
      <c r="F344" s="145">
        <f t="shared" si="332"/>
        <v>2</v>
      </c>
      <c r="G344" s="145">
        <f t="shared" si="347"/>
        <v>2</v>
      </c>
      <c r="H344" s="145">
        <f t="shared" si="348"/>
        <v>2</v>
      </c>
      <c r="I344" s="146">
        <f t="shared" si="349"/>
        <v>8.210398771374875</v>
      </c>
      <c r="J344" s="147"/>
      <c r="K344" s="145">
        <f t="shared" si="350"/>
        <v>0</v>
      </c>
      <c r="L344" s="145">
        <f t="shared" si="351"/>
        <v>6</v>
      </c>
      <c r="M344" s="145">
        <f t="shared" si="352"/>
        <v>21.4</v>
      </c>
      <c r="N344" s="145">
        <f t="shared" si="353"/>
        <v>87.85126685371115</v>
      </c>
      <c r="O344" s="145">
        <f t="shared" si="354"/>
        <v>0</v>
      </c>
      <c r="P344" s="145">
        <f t="shared" si="355"/>
        <v>46.8415950854995</v>
      </c>
      <c r="Q344" s="147">
        <f t="shared" si="356"/>
        <v>156.09286193921065</v>
      </c>
      <c r="R344" s="147"/>
      <c r="S344" s="128">
        <f t="shared" si="357"/>
        <v>0.25660293175072413</v>
      </c>
      <c r="T344" s="128">
        <f t="shared" si="358"/>
        <v>9.354617425533016</v>
      </c>
      <c r="U344" s="145">
        <f t="shared" si="359"/>
        <v>0</v>
      </c>
      <c r="V344" s="145">
        <f t="shared" si="360"/>
        <v>0</v>
      </c>
      <c r="W344" s="128">
        <f t="shared" si="361"/>
        <v>0</v>
      </c>
      <c r="X344" t="str">
        <f aca="true" t="shared" si="363" ref="X344:X359">+CONCATENATE(B344,D344)</f>
        <v>5012,7</v>
      </c>
      <c r="Y344" s="151">
        <f aca="true" t="shared" si="364" ref="Y344:Y359">+S344</f>
        <v>0.25660293175072413</v>
      </c>
      <c r="Z344" s="151">
        <f aca="true" t="shared" si="365" ref="Z344:Z359">+T344</f>
        <v>9.354617425533016</v>
      </c>
    </row>
    <row r="345" spans="1:26" ht="12.75">
      <c r="A345" s="141">
        <f>+'SMAW-SMAW'!A345</f>
        <v>328</v>
      </c>
      <c r="B345" s="142"/>
      <c r="C345" s="143"/>
      <c r="D345" s="143"/>
      <c r="E345" s="144"/>
      <c r="F345" s="145">
        <f t="shared" si="332"/>
        <v>2</v>
      </c>
      <c r="G345" s="145">
        <f t="shared" si="347"/>
        <v>0</v>
      </c>
      <c r="H345" s="145">
        <f t="shared" si="348"/>
        <v>2</v>
      </c>
      <c r="I345" s="146">
        <f t="shared" si="349"/>
        <v>0</v>
      </c>
      <c r="J345" s="147"/>
      <c r="K345" s="145">
        <f t="shared" si="350"/>
        <v>0</v>
      </c>
      <c r="L345" s="145">
        <f t="shared" si="351"/>
        <v>0</v>
      </c>
      <c r="M345" s="145">
        <f t="shared" si="352"/>
        <v>0</v>
      </c>
      <c r="N345" s="145">
        <f t="shared" si="353"/>
        <v>0</v>
      </c>
      <c r="O345" s="145">
        <f t="shared" si="354"/>
        <v>0</v>
      </c>
      <c r="P345" s="145">
        <f t="shared" si="355"/>
        <v>14</v>
      </c>
      <c r="Q345" s="147">
        <f t="shared" si="356"/>
        <v>14</v>
      </c>
      <c r="R345" s="147"/>
      <c r="S345" s="128">
        <f t="shared" si="357"/>
        <v>0</v>
      </c>
      <c r="T345" s="128">
        <f t="shared" si="358"/>
        <v>0</v>
      </c>
      <c r="U345" s="145">
        <f t="shared" si="359"/>
        <v>0</v>
      </c>
      <c r="V345" s="145">
        <f t="shared" si="360"/>
        <v>0</v>
      </c>
      <c r="W345" s="128">
        <f t="shared" si="361"/>
        <v>0</v>
      </c>
      <c r="X345">
        <f t="shared" si="363"/>
      </c>
      <c r="Y345" s="151">
        <f t="shared" si="364"/>
        <v>0</v>
      </c>
      <c r="Z345" s="151">
        <f t="shared" si="365"/>
        <v>0</v>
      </c>
    </row>
    <row r="346" spans="1:26" ht="12.75">
      <c r="A346" s="141">
        <f>+'SMAW-SMAW'!A346</f>
        <v>329</v>
      </c>
      <c r="B346" s="142">
        <v>52</v>
      </c>
      <c r="C346" s="143">
        <f t="shared" si="362"/>
        <v>1320.8</v>
      </c>
      <c r="D346" s="143">
        <v>9.52</v>
      </c>
      <c r="E346" s="144" t="s">
        <v>86</v>
      </c>
      <c r="F346" s="145">
        <f t="shared" si="332"/>
        <v>2</v>
      </c>
      <c r="G346" s="145">
        <f t="shared" si="347"/>
        <v>2</v>
      </c>
      <c r="H346" s="145">
        <f t="shared" si="348"/>
        <v>2</v>
      </c>
      <c r="I346" s="146">
        <f t="shared" si="349"/>
        <v>5.770298949601782</v>
      </c>
      <c r="J346" s="147"/>
      <c r="K346" s="145">
        <f t="shared" si="350"/>
        <v>0</v>
      </c>
      <c r="L346" s="145">
        <f t="shared" si="351"/>
        <v>6</v>
      </c>
      <c r="M346" s="145">
        <f t="shared" si="352"/>
        <v>15.04</v>
      </c>
      <c r="N346" s="145">
        <f t="shared" si="353"/>
        <v>43.39264810100539</v>
      </c>
      <c r="O346" s="145">
        <f t="shared" si="354"/>
        <v>0</v>
      </c>
      <c r="P346" s="145">
        <f t="shared" si="355"/>
        <v>37.08119579840712</v>
      </c>
      <c r="Q346" s="147">
        <f t="shared" si="356"/>
        <v>95.5138438994125</v>
      </c>
      <c r="R346" s="147"/>
      <c r="S346" s="128">
        <f t="shared" si="357"/>
        <v>0.26835002736090463</v>
      </c>
      <c r="T346" s="128">
        <f t="shared" si="358"/>
        <v>5.961445784340732</v>
      </c>
      <c r="U346" s="145">
        <f t="shared" si="359"/>
        <v>0</v>
      </c>
      <c r="V346" s="145">
        <f t="shared" si="360"/>
        <v>0</v>
      </c>
      <c r="W346" s="128">
        <f t="shared" si="361"/>
        <v>0</v>
      </c>
      <c r="X346" t="str">
        <f t="shared" si="363"/>
        <v>529,52</v>
      </c>
      <c r="Y346" s="151">
        <f t="shared" si="364"/>
        <v>0.26835002736090463</v>
      </c>
      <c r="Z346" s="151">
        <f t="shared" si="365"/>
        <v>5.961445784340732</v>
      </c>
    </row>
    <row r="347" spans="1:26" ht="12.75">
      <c r="A347" s="141">
        <f>+'SMAW-SMAW'!A347</f>
        <v>330</v>
      </c>
      <c r="B347" s="142">
        <v>52</v>
      </c>
      <c r="C347" s="143">
        <f t="shared" si="362"/>
        <v>1320.8</v>
      </c>
      <c r="D347" s="143">
        <v>12.7</v>
      </c>
      <c r="E347" s="144" t="s">
        <v>82</v>
      </c>
      <c r="F347" s="145">
        <f t="shared" si="332"/>
        <v>2</v>
      </c>
      <c r="G347" s="145">
        <f t="shared" si="347"/>
        <v>2</v>
      </c>
      <c r="H347" s="145">
        <f t="shared" si="348"/>
        <v>2</v>
      </c>
      <c r="I347" s="146">
        <f t="shared" si="349"/>
        <v>8.210398771374875</v>
      </c>
      <c r="J347" s="147"/>
      <c r="K347" s="145">
        <f t="shared" si="350"/>
        <v>0</v>
      </c>
      <c r="L347" s="145">
        <f t="shared" si="351"/>
        <v>6</v>
      </c>
      <c r="M347" s="145">
        <f t="shared" si="352"/>
        <v>21.4</v>
      </c>
      <c r="N347" s="145">
        <f t="shared" si="353"/>
        <v>87.85126685371115</v>
      </c>
      <c r="O347" s="145">
        <f t="shared" si="354"/>
        <v>0</v>
      </c>
      <c r="P347" s="145">
        <f t="shared" si="355"/>
        <v>46.8415950854995</v>
      </c>
      <c r="Q347" s="147">
        <f t="shared" si="356"/>
        <v>156.09286193921065</v>
      </c>
      <c r="R347" s="147"/>
      <c r="S347" s="128">
        <f t="shared" si="357"/>
        <v>0.2670429677373785</v>
      </c>
      <c r="T347" s="128">
        <f t="shared" si="358"/>
        <v>9.730682447664995</v>
      </c>
      <c r="U347" s="145">
        <f t="shared" si="359"/>
        <v>0</v>
      </c>
      <c r="V347" s="145">
        <f t="shared" si="360"/>
        <v>0</v>
      </c>
      <c r="W347" s="128">
        <f t="shared" si="361"/>
        <v>0</v>
      </c>
      <c r="X347" t="str">
        <f t="shared" si="363"/>
        <v>5212,7</v>
      </c>
      <c r="Y347" s="151">
        <f t="shared" si="364"/>
        <v>0.2670429677373785</v>
      </c>
      <c r="Z347" s="151">
        <f t="shared" si="365"/>
        <v>9.730682447664995</v>
      </c>
    </row>
    <row r="348" spans="1:26" ht="12.75">
      <c r="A348" s="141">
        <f>+'SMAW-SMAW'!A348</f>
        <v>331</v>
      </c>
      <c r="B348" s="142"/>
      <c r="C348" s="143"/>
      <c r="D348" s="143"/>
      <c r="E348" s="144"/>
      <c r="F348" s="145">
        <f t="shared" si="332"/>
        <v>2</v>
      </c>
      <c r="G348" s="145">
        <f t="shared" si="347"/>
        <v>0</v>
      </c>
      <c r="H348" s="145">
        <f t="shared" si="348"/>
        <v>2</v>
      </c>
      <c r="I348" s="146">
        <f t="shared" si="349"/>
        <v>0</v>
      </c>
      <c r="J348" s="147"/>
      <c r="K348" s="145">
        <f t="shared" si="350"/>
        <v>0</v>
      </c>
      <c r="L348" s="145">
        <f t="shared" si="351"/>
        <v>0</v>
      </c>
      <c r="M348" s="145">
        <f t="shared" si="352"/>
        <v>0</v>
      </c>
      <c r="N348" s="145">
        <f t="shared" si="353"/>
        <v>0</v>
      </c>
      <c r="O348" s="145">
        <f t="shared" si="354"/>
        <v>0</v>
      </c>
      <c r="P348" s="145">
        <f t="shared" si="355"/>
        <v>14</v>
      </c>
      <c r="Q348" s="147">
        <f t="shared" si="356"/>
        <v>14</v>
      </c>
      <c r="R348" s="147"/>
      <c r="S348" s="128">
        <f t="shared" si="357"/>
        <v>0</v>
      </c>
      <c r="T348" s="128">
        <f t="shared" si="358"/>
        <v>0</v>
      </c>
      <c r="U348" s="145">
        <f t="shared" si="359"/>
        <v>0</v>
      </c>
      <c r="V348" s="145">
        <f t="shared" si="360"/>
        <v>0</v>
      </c>
      <c r="W348" s="128">
        <f t="shared" si="361"/>
        <v>0</v>
      </c>
      <c r="X348">
        <f t="shared" si="363"/>
      </c>
      <c r="Y348" s="151">
        <f t="shared" si="364"/>
        <v>0</v>
      </c>
      <c r="Z348" s="151">
        <f t="shared" si="365"/>
        <v>0</v>
      </c>
    </row>
    <row r="349" spans="1:26" ht="12.75">
      <c r="A349" s="141">
        <f>+'SMAW-SMAW'!A349</f>
        <v>332</v>
      </c>
      <c r="B349" s="142">
        <v>54</v>
      </c>
      <c r="C349" s="143">
        <f t="shared" si="362"/>
        <v>1371.6</v>
      </c>
      <c r="D349" s="143">
        <v>9.52</v>
      </c>
      <c r="E349" s="144" t="s">
        <v>86</v>
      </c>
      <c r="F349" s="145">
        <f t="shared" si="332"/>
        <v>2</v>
      </c>
      <c r="G349" s="145">
        <f t="shared" si="347"/>
        <v>2</v>
      </c>
      <c r="H349" s="145">
        <f t="shared" si="348"/>
        <v>2</v>
      </c>
      <c r="I349" s="146">
        <f t="shared" si="349"/>
        <v>5.770298949601782</v>
      </c>
      <c r="J349" s="147"/>
      <c r="K349" s="145">
        <f t="shared" si="350"/>
        <v>0</v>
      </c>
      <c r="L349" s="145">
        <f t="shared" si="351"/>
        <v>6</v>
      </c>
      <c r="M349" s="145">
        <f t="shared" si="352"/>
        <v>15.04</v>
      </c>
      <c r="N349" s="145">
        <f t="shared" si="353"/>
        <v>43.39264810100539</v>
      </c>
      <c r="O349" s="145">
        <f t="shared" si="354"/>
        <v>0</v>
      </c>
      <c r="P349" s="145">
        <f t="shared" si="355"/>
        <v>37.08119579840712</v>
      </c>
      <c r="Q349" s="147">
        <f t="shared" si="356"/>
        <v>95.5138438994125</v>
      </c>
      <c r="R349" s="147"/>
      <c r="S349" s="128">
        <f t="shared" si="357"/>
        <v>0.27879006334755907</v>
      </c>
      <c r="T349" s="128">
        <f t="shared" si="358"/>
        <v>6.191561469156169</v>
      </c>
      <c r="U349" s="145">
        <f t="shared" si="359"/>
        <v>0</v>
      </c>
      <c r="V349" s="145">
        <f t="shared" si="360"/>
        <v>0</v>
      </c>
      <c r="W349" s="128">
        <f t="shared" si="361"/>
        <v>0</v>
      </c>
      <c r="X349" t="str">
        <f t="shared" si="363"/>
        <v>549,52</v>
      </c>
      <c r="Y349" s="151">
        <f t="shared" si="364"/>
        <v>0.27879006334755907</v>
      </c>
      <c r="Z349" s="151">
        <f t="shared" si="365"/>
        <v>6.191561469156169</v>
      </c>
    </row>
    <row r="350" spans="1:26" ht="12.75">
      <c r="A350" s="141">
        <f>+'SMAW-SMAW'!A350</f>
        <v>333</v>
      </c>
      <c r="B350" s="142">
        <v>54</v>
      </c>
      <c r="C350" s="143">
        <f t="shared" si="362"/>
        <v>1371.6</v>
      </c>
      <c r="D350" s="143">
        <v>12.7</v>
      </c>
      <c r="E350" s="144" t="s">
        <v>82</v>
      </c>
      <c r="F350" s="145">
        <f t="shared" si="332"/>
        <v>2</v>
      </c>
      <c r="G350" s="145">
        <f t="shared" si="347"/>
        <v>2</v>
      </c>
      <c r="H350" s="145">
        <f t="shared" si="348"/>
        <v>2</v>
      </c>
      <c r="I350" s="146">
        <f t="shared" si="349"/>
        <v>8.210398771374875</v>
      </c>
      <c r="J350" s="147"/>
      <c r="K350" s="145">
        <f t="shared" si="350"/>
        <v>0</v>
      </c>
      <c r="L350" s="145">
        <f t="shared" si="351"/>
        <v>6</v>
      </c>
      <c r="M350" s="145">
        <f t="shared" si="352"/>
        <v>21.4</v>
      </c>
      <c r="N350" s="145">
        <f t="shared" si="353"/>
        <v>87.85126685371115</v>
      </c>
      <c r="O350" s="145">
        <f t="shared" si="354"/>
        <v>0</v>
      </c>
      <c r="P350" s="145">
        <f t="shared" si="355"/>
        <v>46.8415950854995</v>
      </c>
      <c r="Q350" s="147">
        <f t="shared" si="356"/>
        <v>156.09286193921065</v>
      </c>
      <c r="R350" s="147"/>
      <c r="S350" s="128">
        <f t="shared" si="357"/>
        <v>0.27748300372403295</v>
      </c>
      <c r="T350" s="128">
        <f t="shared" si="358"/>
        <v>10.106747469796975</v>
      </c>
      <c r="U350" s="145">
        <f t="shared" si="359"/>
        <v>0</v>
      </c>
      <c r="V350" s="145">
        <f t="shared" si="360"/>
        <v>0</v>
      </c>
      <c r="W350" s="128">
        <f t="shared" si="361"/>
        <v>0</v>
      </c>
      <c r="X350" t="str">
        <f t="shared" si="363"/>
        <v>5412,7</v>
      </c>
      <c r="Y350" s="151">
        <f t="shared" si="364"/>
        <v>0.27748300372403295</v>
      </c>
      <c r="Z350" s="151">
        <f t="shared" si="365"/>
        <v>10.106747469796975</v>
      </c>
    </row>
    <row r="351" spans="1:26" ht="12.75">
      <c r="A351" s="141">
        <f>+'SMAW-SMAW'!A351</f>
        <v>334</v>
      </c>
      <c r="B351" s="142"/>
      <c r="C351" s="143"/>
      <c r="D351" s="143"/>
      <c r="E351" s="144"/>
      <c r="F351" s="145">
        <f t="shared" si="332"/>
        <v>2</v>
      </c>
      <c r="G351" s="145">
        <f t="shared" si="347"/>
        <v>0</v>
      </c>
      <c r="H351" s="145">
        <f t="shared" si="348"/>
        <v>2</v>
      </c>
      <c r="I351" s="146">
        <f t="shared" si="349"/>
        <v>0</v>
      </c>
      <c r="J351" s="147"/>
      <c r="K351" s="145">
        <f t="shared" si="350"/>
        <v>0</v>
      </c>
      <c r="L351" s="145">
        <f t="shared" si="351"/>
        <v>0</v>
      </c>
      <c r="M351" s="145">
        <f t="shared" si="352"/>
        <v>0</v>
      </c>
      <c r="N351" s="145">
        <f t="shared" si="353"/>
        <v>0</v>
      </c>
      <c r="O351" s="145">
        <f t="shared" si="354"/>
        <v>0</v>
      </c>
      <c r="P351" s="145">
        <f t="shared" si="355"/>
        <v>14</v>
      </c>
      <c r="Q351" s="147">
        <f t="shared" si="356"/>
        <v>14</v>
      </c>
      <c r="R351" s="147"/>
      <c r="S351" s="128">
        <f t="shared" si="357"/>
        <v>0</v>
      </c>
      <c r="T351" s="128">
        <f t="shared" si="358"/>
        <v>0</v>
      </c>
      <c r="U351" s="145">
        <f t="shared" si="359"/>
        <v>0</v>
      </c>
      <c r="V351" s="145">
        <f t="shared" si="360"/>
        <v>0</v>
      </c>
      <c r="W351" s="128">
        <f t="shared" si="361"/>
        <v>0</v>
      </c>
      <c r="X351">
        <f t="shared" si="363"/>
      </c>
      <c r="Y351" s="151">
        <f t="shared" si="364"/>
        <v>0</v>
      </c>
      <c r="Z351" s="151">
        <f t="shared" si="365"/>
        <v>0</v>
      </c>
    </row>
    <row r="352" spans="1:26" ht="12.75">
      <c r="A352" s="141">
        <f>+'SMAW-SMAW'!A352</f>
        <v>335</v>
      </c>
      <c r="B352" s="142">
        <v>56</v>
      </c>
      <c r="C352" s="143">
        <f t="shared" si="362"/>
        <v>1422.3999999999999</v>
      </c>
      <c r="D352" s="143">
        <v>9.52</v>
      </c>
      <c r="E352" s="144" t="s">
        <v>86</v>
      </c>
      <c r="F352" s="145">
        <f t="shared" si="332"/>
        <v>2</v>
      </c>
      <c r="G352" s="145">
        <f t="shared" si="347"/>
        <v>2</v>
      </c>
      <c r="H352" s="145">
        <f t="shared" si="348"/>
        <v>2</v>
      </c>
      <c r="I352" s="146">
        <f t="shared" si="349"/>
        <v>5.770298949601782</v>
      </c>
      <c r="J352" s="147"/>
      <c r="K352" s="145">
        <f t="shared" si="350"/>
        <v>0</v>
      </c>
      <c r="L352" s="145">
        <f t="shared" si="351"/>
        <v>6</v>
      </c>
      <c r="M352" s="145">
        <f t="shared" si="352"/>
        <v>15.04</v>
      </c>
      <c r="N352" s="145">
        <f t="shared" si="353"/>
        <v>43.39264810100539</v>
      </c>
      <c r="O352" s="145">
        <f t="shared" si="354"/>
        <v>0</v>
      </c>
      <c r="P352" s="145">
        <f t="shared" si="355"/>
        <v>37.08119579840712</v>
      </c>
      <c r="Q352" s="147">
        <f t="shared" si="356"/>
        <v>95.5138438994125</v>
      </c>
      <c r="R352" s="147"/>
      <c r="S352" s="128">
        <f t="shared" si="357"/>
        <v>0.28923009933421356</v>
      </c>
      <c r="T352" s="128">
        <f t="shared" si="358"/>
        <v>6.421677153971607</v>
      </c>
      <c r="U352" s="145">
        <f t="shared" si="359"/>
        <v>0</v>
      </c>
      <c r="V352" s="145">
        <f t="shared" si="360"/>
        <v>0</v>
      </c>
      <c r="W352" s="128">
        <f t="shared" si="361"/>
        <v>0</v>
      </c>
      <c r="X352" t="str">
        <f t="shared" si="363"/>
        <v>569,52</v>
      </c>
      <c r="Y352" s="151">
        <f t="shared" si="364"/>
        <v>0.28923009933421356</v>
      </c>
      <c r="Z352" s="151">
        <f t="shared" si="365"/>
        <v>6.421677153971607</v>
      </c>
    </row>
    <row r="353" spans="1:26" ht="12.75">
      <c r="A353" s="141">
        <f>+'SMAW-SMAW'!A353</f>
        <v>336</v>
      </c>
      <c r="B353" s="142">
        <v>56</v>
      </c>
      <c r="C353" s="143">
        <f t="shared" si="362"/>
        <v>1422.3999999999999</v>
      </c>
      <c r="D353" s="143">
        <v>12.7</v>
      </c>
      <c r="E353" s="144" t="s">
        <v>82</v>
      </c>
      <c r="F353" s="145">
        <f t="shared" si="332"/>
        <v>2</v>
      </c>
      <c r="G353" s="145">
        <f t="shared" si="347"/>
        <v>2</v>
      </c>
      <c r="H353" s="145">
        <f t="shared" si="348"/>
        <v>2</v>
      </c>
      <c r="I353" s="146">
        <f t="shared" si="349"/>
        <v>8.210398771374875</v>
      </c>
      <c r="J353" s="147"/>
      <c r="K353" s="145">
        <f t="shared" si="350"/>
        <v>0</v>
      </c>
      <c r="L353" s="145">
        <f t="shared" si="351"/>
        <v>6</v>
      </c>
      <c r="M353" s="145">
        <f t="shared" si="352"/>
        <v>21.4</v>
      </c>
      <c r="N353" s="145">
        <f t="shared" si="353"/>
        <v>87.85126685371115</v>
      </c>
      <c r="O353" s="145">
        <f t="shared" si="354"/>
        <v>0</v>
      </c>
      <c r="P353" s="145">
        <f t="shared" si="355"/>
        <v>46.8415950854995</v>
      </c>
      <c r="Q353" s="147">
        <f t="shared" si="356"/>
        <v>156.09286193921065</v>
      </c>
      <c r="R353" s="147"/>
      <c r="S353" s="128">
        <f t="shared" si="357"/>
        <v>0.2879230397106875</v>
      </c>
      <c r="T353" s="128">
        <f t="shared" si="358"/>
        <v>10.482812491928954</v>
      </c>
      <c r="U353" s="145">
        <f t="shared" si="359"/>
        <v>0</v>
      </c>
      <c r="V353" s="145">
        <f t="shared" si="360"/>
        <v>0</v>
      </c>
      <c r="W353" s="128">
        <f t="shared" si="361"/>
        <v>0</v>
      </c>
      <c r="X353" t="str">
        <f t="shared" si="363"/>
        <v>5612,7</v>
      </c>
      <c r="Y353" s="151">
        <f t="shared" si="364"/>
        <v>0.2879230397106875</v>
      </c>
      <c r="Z353" s="151">
        <f t="shared" si="365"/>
        <v>10.482812491928954</v>
      </c>
    </row>
    <row r="354" spans="1:26" ht="12.75">
      <c r="A354" s="141">
        <f>+'SMAW-SMAW'!A354</f>
        <v>337</v>
      </c>
      <c r="B354" s="142"/>
      <c r="C354" s="143"/>
      <c r="D354" s="143"/>
      <c r="E354" s="144"/>
      <c r="F354" s="145">
        <f t="shared" si="332"/>
        <v>2</v>
      </c>
      <c r="G354" s="145">
        <f t="shared" si="347"/>
        <v>0</v>
      </c>
      <c r="H354" s="145">
        <f t="shared" si="348"/>
        <v>2</v>
      </c>
      <c r="I354" s="146">
        <f t="shared" si="349"/>
        <v>0</v>
      </c>
      <c r="J354" s="147"/>
      <c r="K354" s="145">
        <f t="shared" si="350"/>
        <v>0</v>
      </c>
      <c r="L354" s="145">
        <f t="shared" si="351"/>
        <v>0</v>
      </c>
      <c r="M354" s="145">
        <f t="shared" si="352"/>
        <v>0</v>
      </c>
      <c r="N354" s="145">
        <f t="shared" si="353"/>
        <v>0</v>
      </c>
      <c r="O354" s="145">
        <f t="shared" si="354"/>
        <v>0</v>
      </c>
      <c r="P354" s="145">
        <f t="shared" si="355"/>
        <v>14</v>
      </c>
      <c r="Q354" s="147">
        <f t="shared" si="356"/>
        <v>14</v>
      </c>
      <c r="R354" s="147"/>
      <c r="S354" s="128">
        <f t="shared" si="357"/>
        <v>0</v>
      </c>
      <c r="T354" s="128">
        <f t="shared" si="358"/>
        <v>0</v>
      </c>
      <c r="U354" s="145">
        <f t="shared" si="359"/>
        <v>0</v>
      </c>
      <c r="V354" s="145">
        <f t="shared" si="360"/>
        <v>0</v>
      </c>
      <c r="W354" s="128">
        <f t="shared" si="361"/>
        <v>0</v>
      </c>
      <c r="X354">
        <f t="shared" si="363"/>
      </c>
      <c r="Y354" s="151">
        <f t="shared" si="364"/>
        <v>0</v>
      </c>
      <c r="Z354" s="151">
        <f t="shared" si="365"/>
        <v>0</v>
      </c>
    </row>
    <row r="355" spans="1:26" ht="12.75">
      <c r="A355" s="141">
        <f>+'SMAW-SMAW'!A355</f>
        <v>338</v>
      </c>
      <c r="B355" s="142">
        <v>58</v>
      </c>
      <c r="C355" s="143">
        <f>25.4*B355</f>
        <v>1473.1999999999998</v>
      </c>
      <c r="D355" s="143">
        <v>9.52</v>
      </c>
      <c r="E355" s="144" t="s">
        <v>86</v>
      </c>
      <c r="F355" s="145">
        <f t="shared" si="332"/>
        <v>2</v>
      </c>
      <c r="G355" s="145">
        <f t="shared" si="347"/>
        <v>2</v>
      </c>
      <c r="H355" s="145">
        <f t="shared" si="348"/>
        <v>2</v>
      </c>
      <c r="I355" s="146">
        <f t="shared" si="349"/>
        <v>5.770298949601782</v>
      </c>
      <c r="J355" s="147"/>
      <c r="K355" s="145">
        <f t="shared" si="350"/>
        <v>0</v>
      </c>
      <c r="L355" s="145">
        <f t="shared" si="351"/>
        <v>6</v>
      </c>
      <c r="M355" s="145">
        <f t="shared" si="352"/>
        <v>15.04</v>
      </c>
      <c r="N355" s="145">
        <f t="shared" si="353"/>
        <v>43.39264810100539</v>
      </c>
      <c r="O355" s="145">
        <f t="shared" si="354"/>
        <v>0</v>
      </c>
      <c r="P355" s="145">
        <f t="shared" si="355"/>
        <v>37.08119579840712</v>
      </c>
      <c r="Q355" s="147">
        <f t="shared" si="356"/>
        <v>95.5138438994125</v>
      </c>
      <c r="R355" s="147"/>
      <c r="S355" s="128">
        <f t="shared" si="357"/>
        <v>0.29967013532086795</v>
      </c>
      <c r="T355" s="128">
        <f t="shared" si="358"/>
        <v>6.651792838787044</v>
      </c>
      <c r="U355" s="145">
        <f t="shared" si="359"/>
        <v>0</v>
      </c>
      <c r="V355" s="145">
        <f t="shared" si="360"/>
        <v>0</v>
      </c>
      <c r="W355" s="128">
        <f t="shared" si="361"/>
        <v>0</v>
      </c>
      <c r="X355" t="str">
        <f t="shared" si="363"/>
        <v>589,52</v>
      </c>
      <c r="Y355" s="151">
        <f t="shared" si="364"/>
        <v>0.29967013532086795</v>
      </c>
      <c r="Z355" s="151">
        <f t="shared" si="365"/>
        <v>6.651792838787044</v>
      </c>
    </row>
    <row r="356" spans="1:26" ht="12.75">
      <c r="A356" s="141">
        <f>+'SMAW-SMAW'!A356</f>
        <v>339</v>
      </c>
      <c r="B356" s="142">
        <v>58</v>
      </c>
      <c r="C356" s="143">
        <f>25.4*B356</f>
        <v>1473.1999999999998</v>
      </c>
      <c r="D356" s="143">
        <v>12.7</v>
      </c>
      <c r="E356" s="144" t="s">
        <v>82</v>
      </c>
      <c r="F356" s="145">
        <f t="shared" si="332"/>
        <v>2</v>
      </c>
      <c r="G356" s="145">
        <f t="shared" si="347"/>
        <v>2</v>
      </c>
      <c r="H356" s="145">
        <f t="shared" si="348"/>
        <v>2</v>
      </c>
      <c r="I356" s="146">
        <f t="shared" si="349"/>
        <v>8.210398771374875</v>
      </c>
      <c r="J356" s="147"/>
      <c r="K356" s="145">
        <f t="shared" si="350"/>
        <v>0</v>
      </c>
      <c r="L356" s="145">
        <f t="shared" si="351"/>
        <v>6</v>
      </c>
      <c r="M356" s="145">
        <f t="shared" si="352"/>
        <v>21.4</v>
      </c>
      <c r="N356" s="145">
        <f t="shared" si="353"/>
        <v>87.85126685371115</v>
      </c>
      <c r="O356" s="145">
        <f t="shared" si="354"/>
        <v>0</v>
      </c>
      <c r="P356" s="145">
        <f t="shared" si="355"/>
        <v>46.8415950854995</v>
      </c>
      <c r="Q356" s="147">
        <f t="shared" si="356"/>
        <v>156.09286193921065</v>
      </c>
      <c r="R356" s="147"/>
      <c r="S356" s="128">
        <f t="shared" si="357"/>
        <v>0.298363075697342</v>
      </c>
      <c r="T356" s="128">
        <f t="shared" si="358"/>
        <v>10.858877514060934</v>
      </c>
      <c r="U356" s="145">
        <f t="shared" si="359"/>
        <v>0</v>
      </c>
      <c r="V356" s="145">
        <f t="shared" si="360"/>
        <v>0</v>
      </c>
      <c r="W356" s="128">
        <f t="shared" si="361"/>
        <v>0</v>
      </c>
      <c r="X356" t="str">
        <f t="shared" si="363"/>
        <v>5812,7</v>
      </c>
      <c r="Y356" s="151">
        <f t="shared" si="364"/>
        <v>0.298363075697342</v>
      </c>
      <c r="Z356" s="151">
        <f t="shared" si="365"/>
        <v>10.858877514060934</v>
      </c>
    </row>
    <row r="357" spans="1:26" ht="12.75">
      <c r="A357" s="141">
        <f>+'SMAW-SMAW'!A357</f>
        <v>340</v>
      </c>
      <c r="B357" s="142"/>
      <c r="C357" s="143"/>
      <c r="D357" s="143"/>
      <c r="E357" s="144"/>
      <c r="F357" s="145">
        <f t="shared" si="332"/>
        <v>2</v>
      </c>
      <c r="G357" s="145">
        <f t="shared" si="347"/>
        <v>0</v>
      </c>
      <c r="H357" s="145">
        <f t="shared" si="348"/>
        <v>2</v>
      </c>
      <c r="I357" s="146">
        <f t="shared" si="349"/>
        <v>0</v>
      </c>
      <c r="J357" s="147"/>
      <c r="K357" s="145">
        <f t="shared" si="350"/>
        <v>0</v>
      </c>
      <c r="L357" s="145">
        <f t="shared" si="351"/>
        <v>0</v>
      </c>
      <c r="M357" s="145">
        <f t="shared" si="352"/>
        <v>0</v>
      </c>
      <c r="N357" s="145">
        <f t="shared" si="353"/>
        <v>0</v>
      </c>
      <c r="O357" s="145">
        <f t="shared" si="354"/>
        <v>0</v>
      </c>
      <c r="P357" s="145">
        <f t="shared" si="355"/>
        <v>14</v>
      </c>
      <c r="Q357" s="147">
        <f t="shared" si="356"/>
        <v>14</v>
      </c>
      <c r="R357" s="147"/>
      <c r="S357" s="128">
        <f t="shared" si="357"/>
        <v>0</v>
      </c>
      <c r="T357" s="128">
        <f t="shared" si="358"/>
        <v>0</v>
      </c>
      <c r="U357" s="145">
        <f t="shared" si="359"/>
        <v>0</v>
      </c>
      <c r="V357" s="145">
        <f t="shared" si="360"/>
        <v>0</v>
      </c>
      <c r="W357" s="128">
        <f t="shared" si="361"/>
        <v>0</v>
      </c>
      <c r="X357">
        <f t="shared" si="363"/>
      </c>
      <c r="Y357" s="151">
        <f t="shared" si="364"/>
        <v>0</v>
      </c>
      <c r="Z357" s="151">
        <f t="shared" si="365"/>
        <v>0</v>
      </c>
    </row>
    <row r="358" spans="1:26" ht="12.75">
      <c r="A358" s="141">
        <f>+'SMAW-SMAW'!A358</f>
        <v>341</v>
      </c>
      <c r="B358" s="142">
        <v>60</v>
      </c>
      <c r="C358" s="143">
        <f>25.4*B358</f>
        <v>1524</v>
      </c>
      <c r="D358" s="143">
        <v>9.52</v>
      </c>
      <c r="E358" s="144" t="s">
        <v>86</v>
      </c>
      <c r="F358" s="145">
        <f t="shared" si="332"/>
        <v>2</v>
      </c>
      <c r="G358" s="145">
        <f t="shared" si="347"/>
        <v>2</v>
      </c>
      <c r="H358" s="145">
        <f t="shared" si="348"/>
        <v>2</v>
      </c>
      <c r="I358" s="146">
        <f t="shared" si="349"/>
        <v>5.770298949601782</v>
      </c>
      <c r="J358" s="147"/>
      <c r="K358" s="145">
        <f t="shared" si="350"/>
        <v>0</v>
      </c>
      <c r="L358" s="145">
        <f t="shared" si="351"/>
        <v>6</v>
      </c>
      <c r="M358" s="145">
        <f t="shared" si="352"/>
        <v>15.04</v>
      </c>
      <c r="N358" s="145">
        <f t="shared" si="353"/>
        <v>43.39264810100539</v>
      </c>
      <c r="O358" s="145">
        <f t="shared" si="354"/>
        <v>0</v>
      </c>
      <c r="P358" s="145">
        <f t="shared" si="355"/>
        <v>37.08119579840712</v>
      </c>
      <c r="Q358" s="147">
        <f t="shared" si="356"/>
        <v>95.5138438994125</v>
      </c>
      <c r="R358" s="147"/>
      <c r="S358" s="128">
        <f t="shared" si="357"/>
        <v>0.31011017130752255</v>
      </c>
      <c r="T358" s="128">
        <f t="shared" si="358"/>
        <v>6.881908523602484</v>
      </c>
      <c r="U358" s="145">
        <f t="shared" si="359"/>
        <v>0</v>
      </c>
      <c r="V358" s="145">
        <f t="shared" si="360"/>
        <v>0</v>
      </c>
      <c r="W358" s="128">
        <f t="shared" si="361"/>
        <v>0</v>
      </c>
      <c r="X358" t="str">
        <f t="shared" si="363"/>
        <v>609,52</v>
      </c>
      <c r="Y358" s="151">
        <f t="shared" si="364"/>
        <v>0.31011017130752255</v>
      </c>
      <c r="Z358" s="151">
        <f t="shared" si="365"/>
        <v>6.881908523602484</v>
      </c>
    </row>
    <row r="359" spans="1:26" ht="12.75">
      <c r="A359" s="141">
        <f>+'SMAW-SMAW'!A359</f>
        <v>342</v>
      </c>
      <c r="B359" s="142">
        <v>60</v>
      </c>
      <c r="C359" s="143">
        <f>25.4*B359</f>
        <v>1524</v>
      </c>
      <c r="D359" s="143">
        <v>12.7</v>
      </c>
      <c r="E359" s="144" t="s">
        <v>82</v>
      </c>
      <c r="F359" s="145">
        <f t="shared" si="332"/>
        <v>2</v>
      </c>
      <c r="G359" s="145">
        <f t="shared" si="347"/>
        <v>2</v>
      </c>
      <c r="H359" s="145">
        <f t="shared" si="348"/>
        <v>2</v>
      </c>
      <c r="I359" s="146">
        <f t="shared" si="349"/>
        <v>8.210398771374875</v>
      </c>
      <c r="J359" s="147"/>
      <c r="K359" s="145">
        <f t="shared" si="350"/>
        <v>0</v>
      </c>
      <c r="L359" s="145">
        <f t="shared" si="351"/>
        <v>6</v>
      </c>
      <c r="M359" s="145">
        <f t="shared" si="352"/>
        <v>21.4</v>
      </c>
      <c r="N359" s="145">
        <f t="shared" si="353"/>
        <v>87.85126685371115</v>
      </c>
      <c r="O359" s="145">
        <f t="shared" si="354"/>
        <v>0</v>
      </c>
      <c r="P359" s="145">
        <f t="shared" si="355"/>
        <v>46.8415950854995</v>
      </c>
      <c r="Q359" s="147">
        <f t="shared" si="356"/>
        <v>156.09286193921065</v>
      </c>
      <c r="R359" s="147"/>
      <c r="S359" s="128">
        <f t="shared" si="357"/>
        <v>0.3088031116839965</v>
      </c>
      <c r="T359" s="128">
        <f t="shared" si="358"/>
        <v>11.234942536192918</v>
      </c>
      <c r="U359" s="145">
        <f t="shared" si="359"/>
        <v>0</v>
      </c>
      <c r="V359" s="145">
        <f t="shared" si="360"/>
        <v>0</v>
      </c>
      <c r="W359" s="128">
        <f t="shared" si="361"/>
        <v>0</v>
      </c>
      <c r="X359" t="str">
        <f t="shared" si="363"/>
        <v>6012,7</v>
      </c>
      <c r="Y359" s="151">
        <f t="shared" si="364"/>
        <v>0.3088031116839965</v>
      </c>
      <c r="Z359" s="151">
        <f t="shared" si="365"/>
        <v>11.234942536192918</v>
      </c>
    </row>
    <row r="360" spans="1:23" ht="12.75">
      <c r="A360" s="148"/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</row>
  </sheetData>
  <sheetProtection/>
  <dataValidations count="1">
    <dataValidation allowBlank="1" showInputMessage="1" showErrorMessage="1" promptTitle="DATA  INPUT" prompt="All calculation are for SMAW unless  you  enter Value  &quot;1&quot;  in cell  D6 to get values for Root Pass GTAW. All other  Passes Arc Welding. " sqref="D6:E6"/>
  </dataValidations>
  <printOptions horizontalCentered="1"/>
  <pageMargins left="0.25" right="0.25" top="0.5" bottom="0.5" header="0.25" footer="0.25"/>
  <pageSetup fitToHeight="4" fitToWidth="2" horizontalDpi="300" verticalDpi="300" orientation="landscape" paperSize="9" scale="85" r:id="rId2"/>
  <headerFooter alignWithMargins="0">
    <oddHeader>&amp;L&amp;D   &amp;T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0"/>
  <sheetViews>
    <sheetView showGridLines="0" tabSelected="1" zoomScalePageLayoutView="0" workbookViewId="0" topLeftCell="A1">
      <pane ySplit="16" topLeftCell="A134" activePane="bottomLeft" state="frozen"/>
      <selection pane="topLeft" activeCell="A1" sqref="A1"/>
      <selection pane="bottomLeft" activeCell="U134" sqref="U134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8.57421875" style="0" customWidth="1"/>
    <col min="4" max="4" width="8.00390625" style="0" customWidth="1"/>
    <col min="5" max="5" width="11.7109375" style="0" bestFit="1" customWidth="1"/>
    <col min="6" max="6" width="6.421875" style="0" customWidth="1"/>
    <col min="7" max="7" width="6.7109375" style="0" customWidth="1"/>
    <col min="8" max="8" width="7.7109375" style="0" customWidth="1"/>
    <col min="9" max="9" width="6.7109375" style="0" customWidth="1"/>
    <col min="10" max="10" width="1.8515625" style="0" customWidth="1"/>
    <col min="11" max="11" width="6.7109375" style="0" customWidth="1"/>
    <col min="12" max="12" width="7.7109375" style="0" customWidth="1"/>
    <col min="13" max="14" width="7.8515625" style="0" customWidth="1"/>
    <col min="15" max="15" width="9.421875" style="0" customWidth="1"/>
    <col min="16" max="16" width="8.28125" style="0" customWidth="1"/>
    <col min="17" max="17" width="7.7109375" style="0" customWidth="1"/>
    <col min="18" max="18" width="2.140625" style="0" customWidth="1"/>
    <col min="19" max="19" width="7.8515625" style="0" customWidth="1"/>
    <col min="20" max="22" width="8.7109375" style="0" customWidth="1"/>
  </cols>
  <sheetData>
    <row r="1" spans="1:22" ht="15.75">
      <c r="A1" s="39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4" t="s">
        <v>33</v>
      </c>
      <c r="T1" s="12"/>
      <c r="U1" s="12"/>
      <c r="V1" s="45">
        <v>36321</v>
      </c>
    </row>
    <row r="2" spans="1:22" ht="12.75">
      <c r="A2" s="10"/>
      <c r="B2" s="33"/>
      <c r="C2" s="12"/>
      <c r="D2" s="12"/>
      <c r="E2" s="12"/>
      <c r="F2" s="12"/>
      <c r="G2" s="12"/>
      <c r="H2" s="12"/>
      <c r="I2" s="4" t="s">
        <v>20</v>
      </c>
      <c r="J2" s="12"/>
      <c r="K2" s="4"/>
      <c r="L2" s="9" t="s">
        <v>32</v>
      </c>
      <c r="M2" s="8" t="s">
        <v>4</v>
      </c>
      <c r="N2" s="12"/>
      <c r="O2" s="12"/>
      <c r="P2" s="12"/>
      <c r="Q2" s="4" t="s">
        <v>39</v>
      </c>
      <c r="R2" s="12"/>
      <c r="S2" s="44"/>
      <c r="T2" s="12"/>
      <c r="U2" s="12"/>
      <c r="V2" s="45"/>
    </row>
    <row r="3" spans="1:22" ht="12.75">
      <c r="A3" s="10"/>
      <c r="B3" s="11"/>
      <c r="C3" s="12"/>
      <c r="D3" s="12"/>
      <c r="E3" s="12"/>
      <c r="F3" s="12"/>
      <c r="G3" s="36" t="s">
        <v>16</v>
      </c>
      <c r="H3" s="12"/>
      <c r="I3" s="8"/>
      <c r="J3" s="12"/>
      <c r="K3" s="4"/>
      <c r="L3" s="12"/>
      <c r="M3" s="12"/>
      <c r="N3" s="12"/>
      <c r="O3" s="12"/>
      <c r="P3" s="12"/>
      <c r="Q3" s="8"/>
      <c r="R3" s="12"/>
      <c r="S3" s="4"/>
      <c r="T3" s="12"/>
      <c r="U3" s="12"/>
      <c r="V3" s="12"/>
    </row>
    <row r="4" spans="6:22" ht="9" customHeight="1">
      <c r="F4" s="12"/>
      <c r="G4" s="12"/>
      <c r="H4" s="12"/>
      <c r="I4" s="7" t="s">
        <v>19</v>
      </c>
      <c r="J4" s="8"/>
      <c r="K4" s="12"/>
      <c r="L4" s="12"/>
      <c r="M4" s="8"/>
      <c r="N4" s="12"/>
      <c r="O4" s="12"/>
      <c r="P4" s="12"/>
      <c r="Q4" s="7"/>
      <c r="R4" s="8"/>
      <c r="S4" s="12"/>
      <c r="T4" s="12"/>
      <c r="U4" s="12"/>
      <c r="V4" s="8"/>
    </row>
    <row r="5" spans="1:22" ht="34.5" customHeight="1">
      <c r="A5" s="32" t="s">
        <v>24</v>
      </c>
      <c r="B5" s="4"/>
      <c r="C5" s="12"/>
      <c r="D5" s="12"/>
      <c r="E5" s="12"/>
      <c r="G5" s="12"/>
      <c r="H5" s="12"/>
      <c r="I5" s="5" t="s">
        <v>18</v>
      </c>
      <c r="J5" s="13"/>
      <c r="K5" s="9" t="s">
        <v>29</v>
      </c>
      <c r="L5" s="12"/>
      <c r="M5" s="12"/>
      <c r="N5" s="12"/>
      <c r="O5" s="42" t="s">
        <v>4</v>
      </c>
      <c r="P5" s="12"/>
      <c r="Q5" s="5" t="s">
        <v>40</v>
      </c>
      <c r="R5" s="40"/>
      <c r="S5" s="9" t="s">
        <v>78</v>
      </c>
      <c r="T5" s="12"/>
      <c r="U5" s="12"/>
      <c r="V5" s="41"/>
    </row>
    <row r="6" spans="1:22" ht="16.5" customHeight="1">
      <c r="A6" s="12" t="s">
        <v>27</v>
      </c>
      <c r="B6" s="12"/>
      <c r="D6" s="123">
        <v>1</v>
      </c>
      <c r="E6" s="123"/>
      <c r="G6" s="12"/>
      <c r="H6" s="12"/>
      <c r="I6" s="8" t="s">
        <v>14</v>
      </c>
      <c r="J6" s="14"/>
      <c r="K6" s="8"/>
      <c r="L6" s="12"/>
      <c r="M6" s="43" t="s">
        <v>42</v>
      </c>
      <c r="N6" s="12"/>
      <c r="O6" s="12"/>
      <c r="P6" s="12"/>
      <c r="Q6" s="8" t="s">
        <v>14</v>
      </c>
      <c r="R6" s="14"/>
      <c r="S6" s="8"/>
      <c r="T6" s="12"/>
      <c r="U6" s="12"/>
      <c r="V6" s="12"/>
    </row>
    <row r="7" spans="1:22" ht="16.5" customHeight="1">
      <c r="A7" s="12" t="s">
        <v>25</v>
      </c>
      <c r="B7" s="12"/>
      <c r="D7" s="31" t="s">
        <v>99</v>
      </c>
      <c r="E7" s="31"/>
      <c r="F7" s="12"/>
      <c r="G7" s="12"/>
      <c r="H7" s="8" t="s">
        <v>34</v>
      </c>
      <c r="I7" s="12"/>
      <c r="J7" s="6">
        <v>2</v>
      </c>
      <c r="K7" s="12"/>
      <c r="L7" s="12"/>
      <c r="M7" s="12"/>
      <c r="N7" s="12"/>
      <c r="O7" s="12"/>
      <c r="P7" s="12"/>
      <c r="Q7" s="12"/>
      <c r="R7" s="6">
        <v>2</v>
      </c>
      <c r="S7" s="12"/>
      <c r="T7" s="43" t="s">
        <v>43</v>
      </c>
      <c r="U7" s="12"/>
      <c r="V7" s="12"/>
    </row>
    <row r="8" spans="1:22" ht="16.5" customHeight="1">
      <c r="A8" s="34" t="s">
        <v>28</v>
      </c>
      <c r="B8" s="34"/>
      <c r="C8" s="124">
        <v>37.5</v>
      </c>
      <c r="D8" s="7"/>
      <c r="E8" s="7"/>
      <c r="F8" s="12"/>
      <c r="G8" s="12"/>
      <c r="H8" s="12"/>
      <c r="I8" s="12"/>
      <c r="J8" s="14"/>
      <c r="K8" s="12"/>
      <c r="L8" s="8" t="s">
        <v>3</v>
      </c>
      <c r="M8" s="12"/>
      <c r="N8" s="12"/>
      <c r="O8" s="12"/>
      <c r="P8" s="12"/>
      <c r="Q8" s="12"/>
      <c r="R8" s="14"/>
      <c r="S8" s="12"/>
      <c r="T8" s="4" t="s">
        <v>41</v>
      </c>
      <c r="U8" s="12"/>
      <c r="V8" s="12"/>
    </row>
    <row r="9" spans="1:22" ht="6.75" customHeight="1">
      <c r="A9" s="35"/>
      <c r="B9" s="34"/>
      <c r="C9" s="125"/>
      <c r="D9" s="7"/>
      <c r="E9" s="7"/>
      <c r="F9" s="12"/>
      <c r="G9" s="12"/>
      <c r="H9" s="12"/>
      <c r="I9" s="12"/>
      <c r="J9" s="38">
        <v>1</v>
      </c>
      <c r="K9" s="12"/>
      <c r="L9" s="12"/>
      <c r="M9" s="12"/>
      <c r="N9" s="12"/>
      <c r="O9" s="12"/>
      <c r="P9" s="12"/>
      <c r="Q9" s="12"/>
      <c r="R9" s="38">
        <v>1</v>
      </c>
      <c r="S9" s="12"/>
      <c r="T9" s="12"/>
      <c r="U9" s="12"/>
      <c r="V9" s="12"/>
    </row>
    <row r="10" spans="1:22" ht="12.75">
      <c r="A10" s="34" t="s">
        <v>31</v>
      </c>
      <c r="B10" s="34"/>
      <c r="C10" s="124">
        <v>10</v>
      </c>
      <c r="D10" s="1"/>
      <c r="E10" s="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7:22" ht="12.75">
      <c r="G11" s="12"/>
      <c r="H11" s="12"/>
      <c r="I11" s="12"/>
      <c r="J11" s="8" t="s">
        <v>2</v>
      </c>
      <c r="K11" s="12"/>
      <c r="L11" s="12"/>
      <c r="M11" s="12"/>
      <c r="N11" s="12"/>
      <c r="O11" s="12"/>
      <c r="P11" s="12"/>
      <c r="Q11" s="12"/>
      <c r="R11" s="8" t="s">
        <v>2</v>
      </c>
      <c r="S11" s="12"/>
      <c r="T11" s="12"/>
      <c r="U11" s="12"/>
      <c r="V11" s="12"/>
    </row>
    <row r="12" spans="7:22" ht="12.75">
      <c r="G12" s="12"/>
      <c r="H12" s="12"/>
      <c r="I12" s="12"/>
      <c r="J12" s="8"/>
      <c r="K12" s="12"/>
      <c r="L12" s="12"/>
      <c r="M12" s="12"/>
      <c r="N12" s="12"/>
      <c r="O12" s="12"/>
      <c r="P12" s="12"/>
      <c r="Q12" s="12"/>
      <c r="R12" s="8"/>
      <c r="S12" s="12"/>
      <c r="T12" s="12"/>
      <c r="U12" s="12"/>
      <c r="V12" s="12"/>
    </row>
    <row r="13" spans="1:23" ht="12.75">
      <c r="A13" s="15" t="s">
        <v>8</v>
      </c>
      <c r="B13" s="48" t="s">
        <v>30</v>
      </c>
      <c r="C13" s="48" t="s">
        <v>6</v>
      </c>
      <c r="D13" s="48" t="s">
        <v>7</v>
      </c>
      <c r="E13" s="48" t="s">
        <v>80</v>
      </c>
      <c r="F13" s="15" t="s">
        <v>2</v>
      </c>
      <c r="G13" s="15" t="s">
        <v>3</v>
      </c>
      <c r="H13" s="15" t="s">
        <v>4</v>
      </c>
      <c r="I13" s="16" t="s">
        <v>15</v>
      </c>
      <c r="J13" s="16"/>
      <c r="K13" s="16" t="s">
        <v>16</v>
      </c>
      <c r="L13" s="15" t="s">
        <v>58</v>
      </c>
      <c r="M13" s="15" t="s">
        <v>59</v>
      </c>
      <c r="N13" s="15" t="s">
        <v>60</v>
      </c>
      <c r="O13" s="15" t="s">
        <v>61</v>
      </c>
      <c r="P13" s="15" t="s">
        <v>62</v>
      </c>
      <c r="Q13" s="88" t="s">
        <v>57</v>
      </c>
      <c r="R13" s="89"/>
      <c r="S13" s="17" t="s">
        <v>10</v>
      </c>
      <c r="T13" s="17"/>
      <c r="U13" s="17"/>
      <c r="V13" s="17"/>
      <c r="W13" s="17"/>
    </row>
    <row r="14" spans="1:23" ht="15" customHeight="1">
      <c r="A14" s="3" t="s">
        <v>9</v>
      </c>
      <c r="B14" s="49" t="s">
        <v>0</v>
      </c>
      <c r="C14" s="49" t="s">
        <v>1</v>
      </c>
      <c r="D14" s="49" t="s">
        <v>1</v>
      </c>
      <c r="E14" s="49" t="s">
        <v>79</v>
      </c>
      <c r="F14" s="3" t="s">
        <v>1</v>
      </c>
      <c r="G14" s="3" t="s">
        <v>1</v>
      </c>
      <c r="H14" s="3" t="s">
        <v>1</v>
      </c>
      <c r="I14" s="18" t="s">
        <v>1</v>
      </c>
      <c r="J14" s="18"/>
      <c r="K14" s="18" t="s">
        <v>1</v>
      </c>
      <c r="L14" s="3" t="s">
        <v>23</v>
      </c>
      <c r="M14" s="3" t="s">
        <v>23</v>
      </c>
      <c r="N14" s="3" t="s">
        <v>23</v>
      </c>
      <c r="O14" s="3" t="s">
        <v>23</v>
      </c>
      <c r="P14" s="3" t="s">
        <v>23</v>
      </c>
      <c r="Q14" s="19" t="s">
        <v>23</v>
      </c>
      <c r="R14" s="20"/>
      <c r="S14" s="57" t="s">
        <v>64</v>
      </c>
      <c r="T14" s="58" t="s">
        <v>12</v>
      </c>
      <c r="U14" s="57" t="s">
        <v>11</v>
      </c>
      <c r="V14" s="58" t="s">
        <v>12</v>
      </c>
      <c r="W14" s="58" t="s">
        <v>98</v>
      </c>
    </row>
    <row r="15" spans="1:23" ht="13.5" customHeight="1">
      <c r="A15" s="3"/>
      <c r="B15" s="49"/>
      <c r="C15" s="49"/>
      <c r="D15" s="49"/>
      <c r="E15" s="49"/>
      <c r="F15" s="3"/>
      <c r="G15" s="3"/>
      <c r="H15" s="3"/>
      <c r="I15" s="19" t="s">
        <v>50</v>
      </c>
      <c r="J15" s="20"/>
      <c r="K15" s="18" t="s">
        <v>51</v>
      </c>
      <c r="L15" s="3" t="s">
        <v>35</v>
      </c>
      <c r="M15" s="3" t="s">
        <v>17</v>
      </c>
      <c r="N15" s="3" t="s">
        <v>36</v>
      </c>
      <c r="O15" s="30" t="s">
        <v>22</v>
      </c>
      <c r="P15" s="37" t="s">
        <v>37</v>
      </c>
      <c r="Q15" s="81"/>
      <c r="R15" s="82"/>
      <c r="S15" s="86" t="s">
        <v>5</v>
      </c>
      <c r="T15" s="87" t="s">
        <v>100</v>
      </c>
      <c r="U15" s="86" t="s">
        <v>55</v>
      </c>
      <c r="V15" s="87" t="s">
        <v>13</v>
      </c>
      <c r="W15" s="126" t="s">
        <v>55</v>
      </c>
    </row>
    <row r="16" spans="1:23" ht="12.75">
      <c r="A16" s="21"/>
      <c r="B16" s="50"/>
      <c r="C16" s="50"/>
      <c r="D16" s="50"/>
      <c r="E16" s="50"/>
      <c r="F16" s="21"/>
      <c r="G16" s="21"/>
      <c r="H16" s="21"/>
      <c r="I16" s="46" t="s">
        <v>48</v>
      </c>
      <c r="J16" s="23"/>
      <c r="K16" s="47" t="s">
        <v>49</v>
      </c>
      <c r="L16" s="22"/>
      <c r="M16" s="22"/>
      <c r="N16" s="22"/>
      <c r="O16" s="25" t="s">
        <v>21</v>
      </c>
      <c r="P16" s="22" t="s">
        <v>38</v>
      </c>
      <c r="Q16" s="83"/>
      <c r="R16" s="84"/>
      <c r="S16" s="51">
        <v>0.9</v>
      </c>
      <c r="T16" s="85">
        <v>0.9</v>
      </c>
      <c r="U16" s="51">
        <v>0.6</v>
      </c>
      <c r="V16" s="59">
        <v>0.65</v>
      </c>
      <c r="W16" s="59"/>
    </row>
    <row r="17" spans="1:23" ht="12.75">
      <c r="A17" s="90"/>
      <c r="B17" s="91"/>
      <c r="C17" s="91"/>
      <c r="D17" s="91"/>
      <c r="E17" s="91"/>
      <c r="F17" s="7"/>
      <c r="G17" s="7"/>
      <c r="H17" s="7"/>
      <c r="I17" s="34"/>
      <c r="J17" s="34"/>
      <c r="K17" s="34"/>
      <c r="L17" s="66"/>
      <c r="M17" s="66"/>
      <c r="N17" s="92"/>
      <c r="O17" s="93"/>
      <c r="P17" s="66"/>
      <c r="Q17" s="66"/>
      <c r="R17" s="66"/>
      <c r="S17" s="60">
        <v>0.8</v>
      </c>
      <c r="T17" s="61">
        <v>0.8</v>
      </c>
      <c r="U17" s="62">
        <v>0.8</v>
      </c>
      <c r="V17" s="63">
        <v>0.8</v>
      </c>
      <c r="W17" s="63"/>
    </row>
    <row r="18" spans="1:23" ht="12.75">
      <c r="A18" s="134">
        <f>+'SMAW-SMAW'!A18</f>
        <v>1</v>
      </c>
      <c r="B18" s="135">
        <v>0.5</v>
      </c>
      <c r="C18" s="136">
        <v>21.3</v>
      </c>
      <c r="D18" s="136">
        <v>1.65</v>
      </c>
      <c r="E18" s="137" t="s">
        <v>81</v>
      </c>
      <c r="F18" s="138">
        <f aca="true" t="shared" si="0" ref="F18:F27">IF($D$6=1,2,3)</f>
        <v>2</v>
      </c>
      <c r="G18" s="138">
        <f aca="true" t="shared" si="1" ref="G18:G27">IF(D18&lt;2,D18,2)</f>
        <v>1.65</v>
      </c>
      <c r="H18" s="138">
        <f aca="true" t="shared" si="2" ref="H18:H27">IF(D18&lt;=19,2,3)</f>
        <v>2</v>
      </c>
      <c r="I18" s="139">
        <f aca="true" t="shared" si="3" ref="I18:I27">IF(D18&lt;=19,(D18-G18)*TAN($C$8*PI()/180),(19-G18)*TAN($C$8*PI()/180))</f>
        <v>0</v>
      </c>
      <c r="J18" s="138"/>
      <c r="K18" s="138">
        <f aca="true" t="shared" si="4" ref="K18:K27">IF(D18&lt;=19,0,(D18-19)*TAN($C$10*PI()/180))</f>
        <v>0</v>
      </c>
      <c r="L18" s="138">
        <f aca="true" t="shared" si="5" ref="L18:L27">+F18*(G18*1.5)</f>
        <v>4.949999999999999</v>
      </c>
      <c r="M18" s="138">
        <f aca="true" t="shared" si="6" ref="M18:M27">+F18*(D18-G18)</f>
        <v>0</v>
      </c>
      <c r="N18" s="138">
        <f aca="true" t="shared" si="7" ref="N18:N27">IF(D18&lt;=19,(D18-G18)*I18,(19-G18)*I18)</f>
        <v>0</v>
      </c>
      <c r="O18" s="138">
        <f aca="true" t="shared" si="8" ref="O18:O27">IF(D18&lt;=19,0,(I18*(D18-19)*2)+((K18)*(D18-19)))</f>
        <v>0</v>
      </c>
      <c r="P18" s="138">
        <f aca="true" t="shared" si="9" ref="P18:P27">+(5+F18+(2*(I18+K18)))*H18</f>
        <v>14</v>
      </c>
      <c r="Q18" s="140">
        <f aca="true" t="shared" si="10" ref="Q18:Q27">SUM(M18:P18)</f>
        <v>14</v>
      </c>
      <c r="R18" s="140"/>
      <c r="S18" s="127">
        <f aca="true" t="shared" si="11" ref="S18:S27">IF(D$6=1,(PI()*(C18-(2*D18)+(2*G18))*L18*0.1*0.01*7.85*0.001/(S$16*S$17)),0)</f>
        <v>0.003611368747548934</v>
      </c>
      <c r="T18" s="127">
        <f aca="true" t="shared" si="12" ref="T18:T27">IF(D$6=1,(PI()*(C18-(0.5*D18))*(Q18)*0.1*0.01*7.85*0.001/(T$16*T$17)),0)</f>
        <v>0.009818360615401924</v>
      </c>
      <c r="U18" s="138">
        <f aca="true" t="shared" si="13" ref="U18:U27">IF(D$6=1,0,(PI()*(C18-(2*D18)+(2*G18))*L18*0.1*0.01*7.85*0.001/(U$16*U$17)))</f>
        <v>0</v>
      </c>
      <c r="V18" s="138">
        <f aca="true" t="shared" si="14" ref="V18:V27">IF(D$6=1,0,(PI()*(C18-(0.5*D18))*(Q18)*0.1*0.01*7.85*0.001/(V$16*V$17)))</f>
        <v>0</v>
      </c>
      <c r="W18" s="127">
        <f aca="true" t="shared" si="15" ref="W18:W81">SUM(U18:V18)</f>
        <v>0</v>
      </c>
    </row>
    <row r="19" spans="1:23" ht="12.75">
      <c r="A19" s="141">
        <f>+'SMAW-SMAW'!A19</f>
        <v>2</v>
      </c>
      <c r="B19" s="142">
        <v>0.5</v>
      </c>
      <c r="C19" s="143">
        <v>21.3</v>
      </c>
      <c r="D19" s="143">
        <v>2.11</v>
      </c>
      <c r="E19" s="144" t="s">
        <v>84</v>
      </c>
      <c r="F19" s="145">
        <f t="shared" si="0"/>
        <v>2</v>
      </c>
      <c r="G19" s="145">
        <f t="shared" si="1"/>
        <v>2</v>
      </c>
      <c r="H19" s="145">
        <f t="shared" si="2"/>
        <v>2</v>
      </c>
      <c r="I19" s="146">
        <f t="shared" si="3"/>
        <v>0.08440596867768554</v>
      </c>
      <c r="J19" s="147"/>
      <c r="K19" s="145">
        <f t="shared" si="4"/>
        <v>0</v>
      </c>
      <c r="L19" s="145">
        <f t="shared" si="5"/>
        <v>6</v>
      </c>
      <c r="M19" s="145">
        <f t="shared" si="6"/>
        <v>0.21999999999999975</v>
      </c>
      <c r="N19" s="145">
        <f t="shared" si="7"/>
        <v>0.0092846565545454</v>
      </c>
      <c r="O19" s="145">
        <f t="shared" si="8"/>
        <v>0</v>
      </c>
      <c r="P19" s="145">
        <f t="shared" si="9"/>
        <v>14.337623874710742</v>
      </c>
      <c r="Q19" s="147">
        <f t="shared" si="10"/>
        <v>14.566908531265288</v>
      </c>
      <c r="R19" s="147"/>
      <c r="S19" s="128">
        <f t="shared" si="11"/>
        <v>0.004332203909422764</v>
      </c>
      <c r="T19" s="128">
        <f t="shared" si="12"/>
        <v>0.010101182259475228</v>
      </c>
      <c r="U19" s="145">
        <f t="shared" si="13"/>
        <v>0</v>
      </c>
      <c r="V19" s="145">
        <f t="shared" si="14"/>
        <v>0</v>
      </c>
      <c r="W19" s="128">
        <f t="shared" si="15"/>
        <v>0</v>
      </c>
    </row>
    <row r="20" spans="1:23" ht="12.75">
      <c r="A20" s="141">
        <f>+'SMAW-SMAW'!A20</f>
        <v>3</v>
      </c>
      <c r="B20" s="142">
        <v>0.5</v>
      </c>
      <c r="C20" s="143">
        <v>21.3</v>
      </c>
      <c r="D20" s="143">
        <v>2.77</v>
      </c>
      <c r="E20" s="144" t="s">
        <v>85</v>
      </c>
      <c r="F20" s="145">
        <f t="shared" si="0"/>
        <v>2</v>
      </c>
      <c r="G20" s="145">
        <f t="shared" si="1"/>
        <v>2</v>
      </c>
      <c r="H20" s="145">
        <f t="shared" si="2"/>
        <v>2</v>
      </c>
      <c r="I20" s="146">
        <f t="shared" si="3"/>
        <v>0.5908417807437994</v>
      </c>
      <c r="J20" s="147"/>
      <c r="K20" s="145">
        <f t="shared" si="4"/>
        <v>0</v>
      </c>
      <c r="L20" s="145">
        <f t="shared" si="5"/>
        <v>6</v>
      </c>
      <c r="M20" s="145">
        <f t="shared" si="6"/>
        <v>1.54</v>
      </c>
      <c r="N20" s="145">
        <f t="shared" si="7"/>
        <v>0.45494817117272557</v>
      </c>
      <c r="O20" s="145">
        <f t="shared" si="8"/>
        <v>0</v>
      </c>
      <c r="P20" s="145">
        <f t="shared" si="9"/>
        <v>16.3633671229752</v>
      </c>
      <c r="Q20" s="147">
        <f t="shared" si="10"/>
        <v>18.358315294147925</v>
      </c>
      <c r="R20" s="147"/>
      <c r="S20" s="128">
        <f t="shared" si="11"/>
        <v>0.004060927383785286</v>
      </c>
      <c r="T20" s="128">
        <f t="shared" si="12"/>
        <v>0.012522763193429877</v>
      </c>
      <c r="U20" s="145">
        <f t="shared" si="13"/>
        <v>0</v>
      </c>
      <c r="V20" s="145">
        <f t="shared" si="14"/>
        <v>0</v>
      </c>
      <c r="W20" s="128">
        <f t="shared" si="15"/>
        <v>0</v>
      </c>
    </row>
    <row r="21" spans="1:23" ht="12.75">
      <c r="A21" s="141">
        <f>+'SMAW-SMAW'!A21</f>
        <v>4</v>
      </c>
      <c r="B21" s="142">
        <v>0.5</v>
      </c>
      <c r="C21" s="143">
        <v>21.3</v>
      </c>
      <c r="D21" s="143">
        <v>2.77</v>
      </c>
      <c r="E21" s="144" t="s">
        <v>86</v>
      </c>
      <c r="F21" s="145">
        <f t="shared" si="0"/>
        <v>2</v>
      </c>
      <c r="G21" s="145">
        <f t="shared" si="1"/>
        <v>2</v>
      </c>
      <c r="H21" s="145">
        <f t="shared" si="2"/>
        <v>2</v>
      </c>
      <c r="I21" s="146">
        <f t="shared" si="3"/>
        <v>0.5908417807437994</v>
      </c>
      <c r="J21" s="147"/>
      <c r="K21" s="145">
        <f t="shared" si="4"/>
        <v>0</v>
      </c>
      <c r="L21" s="145">
        <f t="shared" si="5"/>
        <v>6</v>
      </c>
      <c r="M21" s="145">
        <f t="shared" si="6"/>
        <v>1.54</v>
      </c>
      <c r="N21" s="145">
        <f t="shared" si="7"/>
        <v>0.45494817117272557</v>
      </c>
      <c r="O21" s="145">
        <f t="shared" si="8"/>
        <v>0</v>
      </c>
      <c r="P21" s="145">
        <f t="shared" si="9"/>
        <v>16.3633671229752</v>
      </c>
      <c r="Q21" s="147">
        <f t="shared" si="10"/>
        <v>18.358315294147925</v>
      </c>
      <c r="R21" s="147"/>
      <c r="S21" s="128">
        <f t="shared" si="11"/>
        <v>0.004060927383785286</v>
      </c>
      <c r="T21" s="128">
        <f t="shared" si="12"/>
        <v>0.012522763193429877</v>
      </c>
      <c r="U21" s="145">
        <f t="shared" si="13"/>
        <v>0</v>
      </c>
      <c r="V21" s="145">
        <f t="shared" si="14"/>
        <v>0</v>
      </c>
      <c r="W21" s="128">
        <f t="shared" si="15"/>
        <v>0</v>
      </c>
    </row>
    <row r="22" spans="1:23" ht="12.75">
      <c r="A22" s="141">
        <f>+'SMAW-SMAW'!A22</f>
        <v>5</v>
      </c>
      <c r="B22" s="142">
        <v>0.5</v>
      </c>
      <c r="C22" s="143">
        <v>21.3</v>
      </c>
      <c r="D22" s="143">
        <v>2.77</v>
      </c>
      <c r="E22" s="144" t="s">
        <v>87</v>
      </c>
      <c r="F22" s="145">
        <f t="shared" si="0"/>
        <v>2</v>
      </c>
      <c r="G22" s="145">
        <f t="shared" si="1"/>
        <v>2</v>
      </c>
      <c r="H22" s="145">
        <f t="shared" si="2"/>
        <v>2</v>
      </c>
      <c r="I22" s="146">
        <f t="shared" si="3"/>
        <v>0.5908417807437994</v>
      </c>
      <c r="J22" s="147"/>
      <c r="K22" s="145">
        <f t="shared" si="4"/>
        <v>0</v>
      </c>
      <c r="L22" s="145">
        <f t="shared" si="5"/>
        <v>6</v>
      </c>
      <c r="M22" s="145">
        <f t="shared" si="6"/>
        <v>1.54</v>
      </c>
      <c r="N22" s="145">
        <f t="shared" si="7"/>
        <v>0.45494817117272557</v>
      </c>
      <c r="O22" s="145">
        <f t="shared" si="8"/>
        <v>0</v>
      </c>
      <c r="P22" s="145">
        <f t="shared" si="9"/>
        <v>16.3633671229752</v>
      </c>
      <c r="Q22" s="147">
        <f t="shared" si="10"/>
        <v>18.358315294147925</v>
      </c>
      <c r="R22" s="147"/>
      <c r="S22" s="128">
        <f t="shared" si="11"/>
        <v>0.004060927383785286</v>
      </c>
      <c r="T22" s="128">
        <f t="shared" si="12"/>
        <v>0.012522763193429877</v>
      </c>
      <c r="U22" s="145">
        <f t="shared" si="13"/>
        <v>0</v>
      </c>
      <c r="V22" s="145">
        <f t="shared" si="14"/>
        <v>0</v>
      </c>
      <c r="W22" s="128">
        <f t="shared" si="15"/>
        <v>0</v>
      </c>
    </row>
    <row r="23" spans="1:23" ht="12.75">
      <c r="A23" s="141">
        <f>+'SMAW-SMAW'!A23</f>
        <v>6</v>
      </c>
      <c r="B23" s="142">
        <v>0.5</v>
      </c>
      <c r="C23" s="143">
        <v>21.3</v>
      </c>
      <c r="D23" s="143">
        <v>3.73</v>
      </c>
      <c r="E23" s="144" t="s">
        <v>88</v>
      </c>
      <c r="F23" s="145">
        <f t="shared" si="0"/>
        <v>2</v>
      </c>
      <c r="G23" s="145">
        <f t="shared" si="1"/>
        <v>2</v>
      </c>
      <c r="H23" s="145">
        <f t="shared" si="2"/>
        <v>2</v>
      </c>
      <c r="I23" s="146">
        <f t="shared" si="3"/>
        <v>1.3274756892036015</v>
      </c>
      <c r="J23" s="147"/>
      <c r="K23" s="145">
        <f t="shared" si="4"/>
        <v>0</v>
      </c>
      <c r="L23" s="145">
        <f t="shared" si="5"/>
        <v>6</v>
      </c>
      <c r="M23" s="145">
        <f t="shared" si="6"/>
        <v>3.46</v>
      </c>
      <c r="N23" s="145">
        <f t="shared" si="7"/>
        <v>2.2965329423222305</v>
      </c>
      <c r="O23" s="145">
        <f t="shared" si="8"/>
        <v>0</v>
      </c>
      <c r="P23" s="145">
        <f t="shared" si="9"/>
        <v>19.309902756814406</v>
      </c>
      <c r="Q23" s="147">
        <f t="shared" si="10"/>
        <v>25.066435699136637</v>
      </c>
      <c r="R23" s="147"/>
      <c r="S23" s="128">
        <f t="shared" si="11"/>
        <v>0.003666343346494408</v>
      </c>
      <c r="T23" s="128">
        <f t="shared" si="12"/>
        <v>0.01668645809660669</v>
      </c>
      <c r="U23" s="145">
        <f t="shared" si="13"/>
        <v>0</v>
      </c>
      <c r="V23" s="145">
        <f t="shared" si="14"/>
        <v>0</v>
      </c>
      <c r="W23" s="128">
        <f t="shared" si="15"/>
        <v>0</v>
      </c>
    </row>
    <row r="24" spans="1:23" ht="12.75">
      <c r="A24" s="141">
        <f>+'SMAW-SMAW'!A24</f>
        <v>7</v>
      </c>
      <c r="B24" s="142">
        <v>0.5</v>
      </c>
      <c r="C24" s="143">
        <v>21.3</v>
      </c>
      <c r="D24" s="143">
        <v>3.73</v>
      </c>
      <c r="E24" s="144" t="s">
        <v>82</v>
      </c>
      <c r="F24" s="145">
        <f t="shared" si="0"/>
        <v>2</v>
      </c>
      <c r="G24" s="145">
        <f t="shared" si="1"/>
        <v>2</v>
      </c>
      <c r="H24" s="145">
        <f t="shared" si="2"/>
        <v>2</v>
      </c>
      <c r="I24" s="146">
        <f t="shared" si="3"/>
        <v>1.3274756892036015</v>
      </c>
      <c r="J24" s="147"/>
      <c r="K24" s="145">
        <f t="shared" si="4"/>
        <v>0</v>
      </c>
      <c r="L24" s="145">
        <f t="shared" si="5"/>
        <v>6</v>
      </c>
      <c r="M24" s="145">
        <f t="shared" si="6"/>
        <v>3.46</v>
      </c>
      <c r="N24" s="145">
        <f t="shared" si="7"/>
        <v>2.2965329423222305</v>
      </c>
      <c r="O24" s="145">
        <f t="shared" si="8"/>
        <v>0</v>
      </c>
      <c r="P24" s="145">
        <f t="shared" si="9"/>
        <v>19.309902756814406</v>
      </c>
      <c r="Q24" s="147">
        <f t="shared" si="10"/>
        <v>25.066435699136637</v>
      </c>
      <c r="R24" s="147"/>
      <c r="S24" s="128">
        <f t="shared" si="11"/>
        <v>0.003666343346494408</v>
      </c>
      <c r="T24" s="128" t="s">
        <v>101</v>
      </c>
      <c r="U24" s="145">
        <f t="shared" si="13"/>
        <v>0</v>
      </c>
      <c r="V24" s="145">
        <f t="shared" si="14"/>
        <v>0</v>
      </c>
      <c r="W24" s="128">
        <f t="shared" si="15"/>
        <v>0</v>
      </c>
    </row>
    <row r="25" spans="1:23" ht="12.75">
      <c r="A25" s="141">
        <f>+'SMAW-SMAW'!A25</f>
        <v>8</v>
      </c>
      <c r="B25" s="142">
        <v>0.5</v>
      </c>
      <c r="C25" s="143">
        <v>21.3</v>
      </c>
      <c r="D25" s="143">
        <v>3.73</v>
      </c>
      <c r="E25" s="144" t="s">
        <v>89</v>
      </c>
      <c r="F25" s="145">
        <f t="shared" si="0"/>
        <v>2</v>
      </c>
      <c r="G25" s="145">
        <f t="shared" si="1"/>
        <v>2</v>
      </c>
      <c r="H25" s="145">
        <f t="shared" si="2"/>
        <v>2</v>
      </c>
      <c r="I25" s="146">
        <f t="shared" si="3"/>
        <v>1.3274756892036015</v>
      </c>
      <c r="J25" s="147"/>
      <c r="K25" s="145">
        <f t="shared" si="4"/>
        <v>0</v>
      </c>
      <c r="L25" s="145">
        <f t="shared" si="5"/>
        <v>6</v>
      </c>
      <c r="M25" s="145">
        <f t="shared" si="6"/>
        <v>3.46</v>
      </c>
      <c r="N25" s="145">
        <f t="shared" si="7"/>
        <v>2.2965329423222305</v>
      </c>
      <c r="O25" s="145">
        <f t="shared" si="8"/>
        <v>0</v>
      </c>
      <c r="P25" s="145">
        <f t="shared" si="9"/>
        <v>19.309902756814406</v>
      </c>
      <c r="Q25" s="147">
        <f t="shared" si="10"/>
        <v>25.066435699136637</v>
      </c>
      <c r="R25" s="147"/>
      <c r="S25" s="128">
        <f t="shared" si="11"/>
        <v>0.003666343346494408</v>
      </c>
      <c r="T25" s="128">
        <f t="shared" si="12"/>
        <v>0.01668645809660669</v>
      </c>
      <c r="U25" s="145">
        <f t="shared" si="13"/>
        <v>0</v>
      </c>
      <c r="V25" s="145">
        <f t="shared" si="14"/>
        <v>0</v>
      </c>
      <c r="W25" s="128">
        <f t="shared" si="15"/>
        <v>0</v>
      </c>
    </row>
    <row r="26" spans="1:23" ht="12.75">
      <c r="A26" s="141">
        <f>+'SMAW-SMAW'!A26</f>
        <v>9</v>
      </c>
      <c r="B26" s="142">
        <v>0.5</v>
      </c>
      <c r="C26" s="143">
        <v>21.3</v>
      </c>
      <c r="D26" s="143">
        <v>4.73</v>
      </c>
      <c r="E26" s="144" t="s">
        <v>90</v>
      </c>
      <c r="F26" s="145">
        <f t="shared" si="0"/>
        <v>2</v>
      </c>
      <c r="G26" s="145">
        <f t="shared" si="1"/>
        <v>2</v>
      </c>
      <c r="H26" s="145">
        <f t="shared" si="2"/>
        <v>2</v>
      </c>
      <c r="I26" s="146">
        <f t="shared" si="3"/>
        <v>2.094802677182562</v>
      </c>
      <c r="J26" s="147"/>
      <c r="K26" s="145">
        <f t="shared" si="4"/>
        <v>0</v>
      </c>
      <c r="L26" s="145">
        <f t="shared" si="5"/>
        <v>6</v>
      </c>
      <c r="M26" s="145">
        <f t="shared" si="6"/>
        <v>5.460000000000001</v>
      </c>
      <c r="N26" s="145">
        <f t="shared" si="7"/>
        <v>5.718811308708395</v>
      </c>
      <c r="O26" s="145">
        <f t="shared" si="8"/>
        <v>0</v>
      </c>
      <c r="P26" s="145">
        <f t="shared" si="9"/>
        <v>22.37921070873025</v>
      </c>
      <c r="Q26" s="147">
        <f t="shared" si="10"/>
        <v>33.558022017438645</v>
      </c>
      <c r="R26" s="147"/>
      <c r="S26" s="128">
        <f t="shared" si="11"/>
        <v>0.003255318307649743</v>
      </c>
      <c r="T26" s="128">
        <f t="shared" si="12"/>
        <v>0.021764500132281362</v>
      </c>
      <c r="U26" s="145">
        <f t="shared" si="13"/>
        <v>0</v>
      </c>
      <c r="V26" s="145">
        <f t="shared" si="14"/>
        <v>0</v>
      </c>
      <c r="W26" s="128">
        <f t="shared" si="15"/>
        <v>0</v>
      </c>
    </row>
    <row r="27" spans="1:23" ht="12.75">
      <c r="A27" s="141">
        <f>+'SMAW-SMAW'!A27</f>
        <v>10</v>
      </c>
      <c r="B27" s="142">
        <v>0.5</v>
      </c>
      <c r="C27" s="143">
        <v>21.3</v>
      </c>
      <c r="D27" s="143">
        <v>7.471</v>
      </c>
      <c r="E27" s="144" t="s">
        <v>83</v>
      </c>
      <c r="F27" s="145">
        <f t="shared" si="0"/>
        <v>2</v>
      </c>
      <c r="G27" s="145">
        <f t="shared" si="1"/>
        <v>2</v>
      </c>
      <c r="H27" s="145">
        <f t="shared" si="2"/>
        <v>2</v>
      </c>
      <c r="I27" s="146">
        <f t="shared" si="3"/>
        <v>4.198045951232892</v>
      </c>
      <c r="J27" s="147"/>
      <c r="K27" s="145">
        <f t="shared" si="4"/>
        <v>0</v>
      </c>
      <c r="L27" s="145">
        <f t="shared" si="5"/>
        <v>6</v>
      </c>
      <c r="M27" s="145">
        <f t="shared" si="6"/>
        <v>10.942</v>
      </c>
      <c r="N27" s="145">
        <f t="shared" si="7"/>
        <v>22.96750939919515</v>
      </c>
      <c r="O27" s="145">
        <f t="shared" si="8"/>
        <v>0</v>
      </c>
      <c r="P27" s="145">
        <f t="shared" si="9"/>
        <v>30.792183804931568</v>
      </c>
      <c r="Q27" s="147">
        <f t="shared" si="10"/>
        <v>64.70169320412671</v>
      </c>
      <c r="R27" s="147"/>
      <c r="S27" s="128">
        <f t="shared" si="11"/>
        <v>0.0021286986761765185</v>
      </c>
      <c r="T27" s="128">
        <f t="shared" si="12"/>
        <v>0.03892588278117206</v>
      </c>
      <c r="U27" s="145">
        <f t="shared" si="13"/>
        <v>0</v>
      </c>
      <c r="V27" s="145">
        <f t="shared" si="14"/>
        <v>0</v>
      </c>
      <c r="W27" s="128">
        <f t="shared" si="15"/>
        <v>0</v>
      </c>
    </row>
    <row r="28" spans="1:23" ht="12.75">
      <c r="A28" s="141">
        <f>+'SMAW-SMAW'!A28</f>
        <v>11</v>
      </c>
      <c r="B28" s="142"/>
      <c r="C28" s="143"/>
      <c r="D28" s="143"/>
      <c r="E28" s="144"/>
      <c r="F28" s="145"/>
      <c r="G28" s="145"/>
      <c r="H28" s="145"/>
      <c r="I28" s="146"/>
      <c r="J28" s="147"/>
      <c r="K28" s="145"/>
      <c r="L28" s="145"/>
      <c r="M28" s="145"/>
      <c r="N28" s="145"/>
      <c r="O28" s="145"/>
      <c r="P28" s="145"/>
      <c r="Q28" s="147"/>
      <c r="R28" s="147"/>
      <c r="S28" s="128"/>
      <c r="T28" s="128"/>
      <c r="U28" s="145"/>
      <c r="V28" s="145"/>
      <c r="W28" s="128">
        <f t="shared" si="15"/>
        <v>0</v>
      </c>
    </row>
    <row r="29" spans="1:23" ht="12.75">
      <c r="A29" s="141">
        <f>+'SMAW-SMAW'!A29</f>
        <v>12</v>
      </c>
      <c r="B29" s="142">
        <v>0.75</v>
      </c>
      <c r="C29" s="143">
        <v>26.7</v>
      </c>
      <c r="D29" s="143">
        <v>1.65</v>
      </c>
      <c r="E29" s="144" t="s">
        <v>81</v>
      </c>
      <c r="F29" s="145">
        <f aca="true" t="shared" si="16" ref="F29:F38">IF($D$6=1,2,3)</f>
        <v>2</v>
      </c>
      <c r="G29" s="145">
        <f aca="true" t="shared" si="17" ref="G29:G38">IF(D29&lt;2,D29,2)</f>
        <v>1.65</v>
      </c>
      <c r="H29" s="145">
        <f aca="true" t="shared" si="18" ref="H29:H38">IF(D29&lt;=19,2,3)</f>
        <v>2</v>
      </c>
      <c r="I29" s="146">
        <f aca="true" t="shared" si="19" ref="I29:I38">IF(D29&lt;=19,(D29-G29)*TAN($C$8*PI()/180),(19-G29)*TAN($C$8*PI()/180))</f>
        <v>0</v>
      </c>
      <c r="J29" s="147"/>
      <c r="K29" s="145">
        <f aca="true" t="shared" si="20" ref="K29:K38">IF(D29&lt;=19,0,(D29-19)*TAN($C$10*PI()/180))</f>
        <v>0</v>
      </c>
      <c r="L29" s="145">
        <f aca="true" t="shared" si="21" ref="L29:L38">+F29*(G29*1.5)</f>
        <v>4.949999999999999</v>
      </c>
      <c r="M29" s="145">
        <f aca="true" t="shared" si="22" ref="M29:M38">+F29*(D29-G29)</f>
        <v>0</v>
      </c>
      <c r="N29" s="145">
        <f aca="true" t="shared" si="23" ref="N29:N38">IF(D29&lt;=19,(D29-G29)*I29,(19-G29)*I29)</f>
        <v>0</v>
      </c>
      <c r="O29" s="145">
        <f aca="true" t="shared" si="24" ref="O29:O38">IF(D29&lt;=19,0,(I29*(D29-19)*2)+((K29)*(D29-19)))</f>
        <v>0</v>
      </c>
      <c r="P29" s="145">
        <f aca="true" t="shared" si="25" ref="P29:P38">+(5+F29+(2*(I29+K29)))*H29</f>
        <v>14</v>
      </c>
      <c r="Q29" s="147">
        <f aca="true" t="shared" si="26" ref="Q29:Q38">SUM(M29:P29)</f>
        <v>14</v>
      </c>
      <c r="R29" s="147"/>
      <c r="S29" s="128">
        <f aca="true" t="shared" si="27" ref="S29:S38">IF(D$6=1,(PI()*(C29-(2*D29)+(2*G29))*L29*0.1*0.01*7.85*0.001/(S$16*S$17)),0)</f>
        <v>0.004526927021575424</v>
      </c>
      <c r="T29" s="128">
        <f aca="true" t="shared" si="28" ref="T29:T38">IF(D$6=1,(PI()*(C29-(0.5*D29))*(Q29)*0.1*0.01*7.85*0.001/(T$16*T$17)),0)</f>
        <v>0.012407818360123309</v>
      </c>
      <c r="U29" s="145">
        <f aca="true" t="shared" si="29" ref="U29:U38">IF(D$6=1,0,(PI()*(C29-(2*D29)+(2*G29))*L29*0.1*0.01*7.85*0.001/(U$16*U$17)))</f>
        <v>0</v>
      </c>
      <c r="V29" s="145">
        <f aca="true" t="shared" si="30" ref="V29:V38">IF(D$6=1,0,(PI()*(C29-(0.5*D29))*(Q29)*0.1*0.01*7.85*0.001/(V$16*V$17)))</f>
        <v>0</v>
      </c>
      <c r="W29" s="128">
        <f t="shared" si="15"/>
        <v>0</v>
      </c>
    </row>
    <row r="30" spans="1:23" ht="12.75">
      <c r="A30" s="141">
        <f>+'SMAW-SMAW'!A30</f>
        <v>13</v>
      </c>
      <c r="B30" s="142">
        <v>0.75</v>
      </c>
      <c r="C30" s="143">
        <v>26.7</v>
      </c>
      <c r="D30" s="143">
        <v>2.11</v>
      </c>
      <c r="E30" s="144" t="s">
        <v>84</v>
      </c>
      <c r="F30" s="145">
        <f t="shared" si="16"/>
        <v>2</v>
      </c>
      <c r="G30" s="145">
        <f t="shared" si="17"/>
        <v>2</v>
      </c>
      <c r="H30" s="145">
        <f t="shared" si="18"/>
        <v>2</v>
      </c>
      <c r="I30" s="146">
        <f t="shared" si="19"/>
        <v>0.08440596867768554</v>
      </c>
      <c r="J30" s="147"/>
      <c r="K30" s="145">
        <f t="shared" si="20"/>
        <v>0</v>
      </c>
      <c r="L30" s="145">
        <f t="shared" si="21"/>
        <v>6</v>
      </c>
      <c r="M30" s="145">
        <f t="shared" si="22"/>
        <v>0.21999999999999975</v>
      </c>
      <c r="N30" s="145">
        <f t="shared" si="23"/>
        <v>0.0092846565545454</v>
      </c>
      <c r="O30" s="145">
        <f t="shared" si="24"/>
        <v>0</v>
      </c>
      <c r="P30" s="145">
        <f t="shared" si="25"/>
        <v>14.337623874710742</v>
      </c>
      <c r="Q30" s="147">
        <f t="shared" si="26"/>
        <v>14.566908531265288</v>
      </c>
      <c r="R30" s="147"/>
      <c r="S30" s="128">
        <f t="shared" si="27"/>
        <v>0.005441971514303359</v>
      </c>
      <c r="T30" s="128">
        <f t="shared" si="28"/>
        <v>0.012795496124684724</v>
      </c>
      <c r="U30" s="145">
        <f t="shared" si="29"/>
        <v>0</v>
      </c>
      <c r="V30" s="145">
        <f t="shared" si="30"/>
        <v>0</v>
      </c>
      <c r="W30" s="128">
        <f t="shared" si="15"/>
        <v>0</v>
      </c>
    </row>
    <row r="31" spans="1:23" ht="12.75">
      <c r="A31" s="141">
        <f>+'SMAW-SMAW'!A31</f>
        <v>14</v>
      </c>
      <c r="B31" s="142">
        <v>0.75</v>
      </c>
      <c r="C31" s="143">
        <v>26.7</v>
      </c>
      <c r="D31" s="143">
        <v>2.87</v>
      </c>
      <c r="E31" s="144" t="s">
        <v>85</v>
      </c>
      <c r="F31" s="145">
        <f t="shared" si="16"/>
        <v>2</v>
      </c>
      <c r="G31" s="145">
        <f t="shared" si="17"/>
        <v>2</v>
      </c>
      <c r="H31" s="145">
        <f t="shared" si="18"/>
        <v>2</v>
      </c>
      <c r="I31" s="146">
        <f t="shared" si="19"/>
        <v>0.6675744795416956</v>
      </c>
      <c r="J31" s="147"/>
      <c r="K31" s="145">
        <f t="shared" si="20"/>
        <v>0</v>
      </c>
      <c r="L31" s="145">
        <f t="shared" si="21"/>
        <v>6</v>
      </c>
      <c r="M31" s="145">
        <f t="shared" si="22"/>
        <v>1.7400000000000002</v>
      </c>
      <c r="N31" s="145">
        <f t="shared" si="23"/>
        <v>0.5807897972012752</v>
      </c>
      <c r="O31" s="145">
        <f t="shared" si="24"/>
        <v>0</v>
      </c>
      <c r="P31" s="145">
        <f t="shared" si="25"/>
        <v>16.67029791816678</v>
      </c>
      <c r="Q31" s="147">
        <f t="shared" si="26"/>
        <v>18.991087715368057</v>
      </c>
      <c r="R31" s="147"/>
      <c r="S31" s="128">
        <f t="shared" si="27"/>
        <v>0.005129592484781414</v>
      </c>
      <c r="T31" s="128">
        <f t="shared" si="28"/>
        <v>0.01643448787314635</v>
      </c>
      <c r="U31" s="145">
        <f t="shared" si="29"/>
        <v>0</v>
      </c>
      <c r="V31" s="145">
        <f t="shared" si="30"/>
        <v>0</v>
      </c>
      <c r="W31" s="128">
        <f t="shared" si="15"/>
        <v>0</v>
      </c>
    </row>
    <row r="32" spans="1:23" ht="12.75">
      <c r="A32" s="141">
        <f>+'SMAW-SMAW'!A32</f>
        <v>15</v>
      </c>
      <c r="B32" s="142">
        <v>0.75</v>
      </c>
      <c r="C32" s="143">
        <v>26.7</v>
      </c>
      <c r="D32" s="143">
        <v>2.87</v>
      </c>
      <c r="E32" s="144" t="s">
        <v>86</v>
      </c>
      <c r="F32" s="145">
        <f t="shared" si="16"/>
        <v>2</v>
      </c>
      <c r="G32" s="145">
        <f t="shared" si="17"/>
        <v>2</v>
      </c>
      <c r="H32" s="145">
        <f t="shared" si="18"/>
        <v>2</v>
      </c>
      <c r="I32" s="146">
        <f t="shared" si="19"/>
        <v>0.6675744795416956</v>
      </c>
      <c r="J32" s="147"/>
      <c r="K32" s="145">
        <f t="shared" si="20"/>
        <v>0</v>
      </c>
      <c r="L32" s="145">
        <f t="shared" si="21"/>
        <v>6</v>
      </c>
      <c r="M32" s="145">
        <f t="shared" si="22"/>
        <v>1.7400000000000002</v>
      </c>
      <c r="N32" s="145">
        <f t="shared" si="23"/>
        <v>0.5807897972012752</v>
      </c>
      <c r="O32" s="145">
        <f t="shared" si="24"/>
        <v>0</v>
      </c>
      <c r="P32" s="145">
        <f t="shared" si="25"/>
        <v>16.67029791816678</v>
      </c>
      <c r="Q32" s="147">
        <f t="shared" si="26"/>
        <v>18.991087715368057</v>
      </c>
      <c r="R32" s="147"/>
      <c r="S32" s="128">
        <f t="shared" si="27"/>
        <v>0.005129592484781414</v>
      </c>
      <c r="T32" s="128">
        <f t="shared" si="28"/>
        <v>0.01643448787314635</v>
      </c>
      <c r="U32" s="145">
        <f t="shared" si="29"/>
        <v>0</v>
      </c>
      <c r="V32" s="145">
        <f t="shared" si="30"/>
        <v>0</v>
      </c>
      <c r="W32" s="128">
        <f t="shared" si="15"/>
        <v>0</v>
      </c>
    </row>
    <row r="33" spans="1:23" ht="12.75">
      <c r="A33" s="141">
        <f>+'SMAW-SMAW'!A33</f>
        <v>16</v>
      </c>
      <c r="B33" s="142">
        <v>0.75</v>
      </c>
      <c r="C33" s="143">
        <v>26.7</v>
      </c>
      <c r="D33" s="143">
        <v>2.87</v>
      </c>
      <c r="E33" s="144" t="s">
        <v>87</v>
      </c>
      <c r="F33" s="145">
        <f t="shared" si="16"/>
        <v>2</v>
      </c>
      <c r="G33" s="145">
        <f t="shared" si="17"/>
        <v>2</v>
      </c>
      <c r="H33" s="145">
        <f t="shared" si="18"/>
        <v>2</v>
      </c>
      <c r="I33" s="146">
        <f t="shared" si="19"/>
        <v>0.6675744795416956</v>
      </c>
      <c r="J33" s="147"/>
      <c r="K33" s="145">
        <f t="shared" si="20"/>
        <v>0</v>
      </c>
      <c r="L33" s="145">
        <f t="shared" si="21"/>
        <v>6</v>
      </c>
      <c r="M33" s="145">
        <f t="shared" si="22"/>
        <v>1.7400000000000002</v>
      </c>
      <c r="N33" s="145">
        <f t="shared" si="23"/>
        <v>0.5807897972012752</v>
      </c>
      <c r="O33" s="145">
        <f t="shared" si="24"/>
        <v>0</v>
      </c>
      <c r="P33" s="145">
        <f t="shared" si="25"/>
        <v>16.67029791816678</v>
      </c>
      <c r="Q33" s="147">
        <f t="shared" si="26"/>
        <v>18.991087715368057</v>
      </c>
      <c r="R33" s="147"/>
      <c r="S33" s="128">
        <f t="shared" si="27"/>
        <v>0.005129592484781414</v>
      </c>
      <c r="T33" s="128">
        <f t="shared" si="28"/>
        <v>0.01643448787314635</v>
      </c>
      <c r="U33" s="145">
        <f t="shared" si="29"/>
        <v>0</v>
      </c>
      <c r="V33" s="145">
        <f t="shared" si="30"/>
        <v>0</v>
      </c>
      <c r="W33" s="128">
        <f t="shared" si="15"/>
        <v>0</v>
      </c>
    </row>
    <row r="34" spans="1:23" ht="12.75">
      <c r="A34" s="141">
        <f>+'SMAW-SMAW'!A34</f>
        <v>17</v>
      </c>
      <c r="B34" s="142">
        <v>0.75</v>
      </c>
      <c r="C34" s="143">
        <v>26.7</v>
      </c>
      <c r="D34" s="143">
        <v>3.91</v>
      </c>
      <c r="E34" s="144" t="s">
        <v>88</v>
      </c>
      <c r="F34" s="145">
        <f t="shared" si="16"/>
        <v>2</v>
      </c>
      <c r="G34" s="145">
        <f t="shared" si="17"/>
        <v>2</v>
      </c>
      <c r="H34" s="145">
        <f t="shared" si="18"/>
        <v>2</v>
      </c>
      <c r="I34" s="146">
        <f t="shared" si="19"/>
        <v>1.4655945470398144</v>
      </c>
      <c r="J34" s="147"/>
      <c r="K34" s="145">
        <f t="shared" si="20"/>
        <v>0</v>
      </c>
      <c r="L34" s="145">
        <f t="shared" si="21"/>
        <v>6</v>
      </c>
      <c r="M34" s="145">
        <f t="shared" si="22"/>
        <v>3.8200000000000003</v>
      </c>
      <c r="N34" s="145">
        <f t="shared" si="23"/>
        <v>2.7992855848460456</v>
      </c>
      <c r="O34" s="145">
        <f t="shared" si="24"/>
        <v>0</v>
      </c>
      <c r="P34" s="145">
        <f t="shared" si="25"/>
        <v>19.86237818815926</v>
      </c>
      <c r="Q34" s="147">
        <f t="shared" si="26"/>
        <v>26.481663773005305</v>
      </c>
      <c r="R34" s="147"/>
      <c r="S34" s="128">
        <f t="shared" si="27"/>
        <v>0.004702126444382962</v>
      </c>
      <c r="T34" s="128">
        <f t="shared" si="28"/>
        <v>0.022445007680801977</v>
      </c>
      <c r="U34" s="145">
        <f t="shared" si="29"/>
        <v>0</v>
      </c>
      <c r="V34" s="145">
        <f t="shared" si="30"/>
        <v>0</v>
      </c>
      <c r="W34" s="128">
        <f t="shared" si="15"/>
        <v>0</v>
      </c>
    </row>
    <row r="35" spans="1:23" ht="12.75">
      <c r="A35" s="141">
        <f>+'SMAW-SMAW'!A35</f>
        <v>18</v>
      </c>
      <c r="B35" s="142">
        <v>0.75</v>
      </c>
      <c r="C35" s="143">
        <v>26.7</v>
      </c>
      <c r="D35" s="143">
        <v>3.91</v>
      </c>
      <c r="E35" s="144" t="s">
        <v>82</v>
      </c>
      <c r="F35" s="145">
        <f t="shared" si="16"/>
        <v>2</v>
      </c>
      <c r="G35" s="145">
        <f t="shared" si="17"/>
        <v>2</v>
      </c>
      <c r="H35" s="145">
        <f t="shared" si="18"/>
        <v>2</v>
      </c>
      <c r="I35" s="146">
        <f t="shared" si="19"/>
        <v>1.4655945470398144</v>
      </c>
      <c r="J35" s="147"/>
      <c r="K35" s="145">
        <f t="shared" si="20"/>
        <v>0</v>
      </c>
      <c r="L35" s="145">
        <f t="shared" si="21"/>
        <v>6</v>
      </c>
      <c r="M35" s="145">
        <f t="shared" si="22"/>
        <v>3.8200000000000003</v>
      </c>
      <c r="N35" s="145">
        <f t="shared" si="23"/>
        <v>2.7992855848460456</v>
      </c>
      <c r="O35" s="145">
        <f t="shared" si="24"/>
        <v>0</v>
      </c>
      <c r="P35" s="145">
        <f t="shared" si="25"/>
        <v>19.86237818815926</v>
      </c>
      <c r="Q35" s="147">
        <f t="shared" si="26"/>
        <v>26.481663773005305</v>
      </c>
      <c r="R35" s="147"/>
      <c r="S35" s="128">
        <f t="shared" si="27"/>
        <v>0.004702126444382962</v>
      </c>
      <c r="T35" s="128">
        <f t="shared" si="28"/>
        <v>0.022445007680801977</v>
      </c>
      <c r="U35" s="145">
        <f t="shared" si="29"/>
        <v>0</v>
      </c>
      <c r="V35" s="145">
        <f t="shared" si="30"/>
        <v>0</v>
      </c>
      <c r="W35" s="128">
        <f t="shared" si="15"/>
        <v>0</v>
      </c>
    </row>
    <row r="36" spans="1:23" ht="12.75">
      <c r="A36" s="141">
        <f>+'SMAW-SMAW'!A36</f>
        <v>19</v>
      </c>
      <c r="B36" s="142">
        <v>0.75</v>
      </c>
      <c r="C36" s="143">
        <v>26.7</v>
      </c>
      <c r="D36" s="143">
        <v>3.91</v>
      </c>
      <c r="E36" s="144" t="s">
        <v>89</v>
      </c>
      <c r="F36" s="145">
        <f t="shared" si="16"/>
        <v>2</v>
      </c>
      <c r="G36" s="145">
        <f t="shared" si="17"/>
        <v>2</v>
      </c>
      <c r="H36" s="145">
        <f t="shared" si="18"/>
        <v>2</v>
      </c>
      <c r="I36" s="146">
        <f t="shared" si="19"/>
        <v>1.4655945470398144</v>
      </c>
      <c r="J36" s="147"/>
      <c r="K36" s="145">
        <f t="shared" si="20"/>
        <v>0</v>
      </c>
      <c r="L36" s="145">
        <f t="shared" si="21"/>
        <v>6</v>
      </c>
      <c r="M36" s="145">
        <f t="shared" si="22"/>
        <v>3.8200000000000003</v>
      </c>
      <c r="N36" s="145">
        <f t="shared" si="23"/>
        <v>2.7992855848460456</v>
      </c>
      <c r="O36" s="145">
        <f t="shared" si="24"/>
        <v>0</v>
      </c>
      <c r="P36" s="145">
        <f t="shared" si="25"/>
        <v>19.86237818815926</v>
      </c>
      <c r="Q36" s="147">
        <f t="shared" si="26"/>
        <v>26.481663773005305</v>
      </c>
      <c r="R36" s="147"/>
      <c r="S36" s="128">
        <f t="shared" si="27"/>
        <v>0.004702126444382962</v>
      </c>
      <c r="T36" s="128">
        <f t="shared" si="28"/>
        <v>0.022445007680801977</v>
      </c>
      <c r="U36" s="145">
        <f t="shared" si="29"/>
        <v>0</v>
      </c>
      <c r="V36" s="145">
        <f t="shared" si="30"/>
        <v>0</v>
      </c>
      <c r="W36" s="128">
        <f t="shared" si="15"/>
        <v>0</v>
      </c>
    </row>
    <row r="37" spans="1:23" ht="12.75">
      <c r="A37" s="141">
        <f>+'SMAW-SMAW'!A37</f>
        <v>20</v>
      </c>
      <c r="B37" s="142">
        <v>0.75</v>
      </c>
      <c r="C37" s="143">
        <v>26.7</v>
      </c>
      <c r="D37" s="143">
        <v>5.56</v>
      </c>
      <c r="E37" s="144" t="s">
        <v>90</v>
      </c>
      <c r="F37" s="145">
        <f t="shared" si="16"/>
        <v>2</v>
      </c>
      <c r="G37" s="145">
        <f t="shared" si="17"/>
        <v>2</v>
      </c>
      <c r="H37" s="145">
        <f t="shared" si="18"/>
        <v>2</v>
      </c>
      <c r="I37" s="146">
        <f t="shared" si="19"/>
        <v>2.7316840772050988</v>
      </c>
      <c r="J37" s="147"/>
      <c r="K37" s="145">
        <f t="shared" si="20"/>
        <v>0</v>
      </c>
      <c r="L37" s="145">
        <f t="shared" si="21"/>
        <v>6</v>
      </c>
      <c r="M37" s="145">
        <f t="shared" si="22"/>
        <v>7.119999999999999</v>
      </c>
      <c r="N37" s="145">
        <f t="shared" si="23"/>
        <v>9.72479531485015</v>
      </c>
      <c r="O37" s="145">
        <f t="shared" si="24"/>
        <v>0</v>
      </c>
      <c r="P37" s="145">
        <f t="shared" si="25"/>
        <v>24.926736308820395</v>
      </c>
      <c r="Q37" s="147">
        <f t="shared" si="26"/>
        <v>41.77153162367054</v>
      </c>
      <c r="R37" s="147"/>
      <c r="S37" s="128">
        <f t="shared" si="27"/>
        <v>0.004023935130289266</v>
      </c>
      <c r="T37" s="128">
        <f t="shared" si="28"/>
        <v>0.034223829847052495</v>
      </c>
      <c r="U37" s="145">
        <f t="shared" si="29"/>
        <v>0</v>
      </c>
      <c r="V37" s="145">
        <f t="shared" si="30"/>
        <v>0</v>
      </c>
      <c r="W37" s="128">
        <f t="shared" si="15"/>
        <v>0</v>
      </c>
    </row>
    <row r="38" spans="1:23" ht="12.75">
      <c r="A38" s="141">
        <f>+'SMAW-SMAW'!A38</f>
        <v>21</v>
      </c>
      <c r="B38" s="142">
        <v>0.75</v>
      </c>
      <c r="C38" s="143">
        <v>26.7</v>
      </c>
      <c r="D38" s="143">
        <v>7.821</v>
      </c>
      <c r="E38" s="144" t="s">
        <v>83</v>
      </c>
      <c r="F38" s="145">
        <f t="shared" si="16"/>
        <v>2</v>
      </c>
      <c r="G38" s="145">
        <f t="shared" si="17"/>
        <v>2</v>
      </c>
      <c r="H38" s="145">
        <f t="shared" si="18"/>
        <v>2</v>
      </c>
      <c r="I38" s="146">
        <f t="shared" si="19"/>
        <v>4.466610397025528</v>
      </c>
      <c r="J38" s="147"/>
      <c r="K38" s="145">
        <f t="shared" si="20"/>
        <v>0</v>
      </c>
      <c r="L38" s="145">
        <f t="shared" si="21"/>
        <v>6</v>
      </c>
      <c r="M38" s="145">
        <f t="shared" si="22"/>
        <v>11.642</v>
      </c>
      <c r="N38" s="145">
        <f t="shared" si="23"/>
        <v>26.0001391210856</v>
      </c>
      <c r="O38" s="145">
        <f t="shared" si="24"/>
        <v>0</v>
      </c>
      <c r="P38" s="145">
        <f t="shared" si="25"/>
        <v>31.866441588102113</v>
      </c>
      <c r="Q38" s="147">
        <f t="shared" si="26"/>
        <v>69.50858070918771</v>
      </c>
      <c r="R38" s="147"/>
      <c r="S38" s="128">
        <f t="shared" si="27"/>
        <v>0.003094607517461479</v>
      </c>
      <c r="T38" s="128">
        <f t="shared" si="28"/>
        <v>0.054257558917259335</v>
      </c>
      <c r="U38" s="145">
        <f t="shared" si="29"/>
        <v>0</v>
      </c>
      <c r="V38" s="145">
        <f t="shared" si="30"/>
        <v>0</v>
      </c>
      <c r="W38" s="128">
        <f t="shared" si="15"/>
        <v>0</v>
      </c>
    </row>
    <row r="39" spans="1:23" ht="12.75">
      <c r="A39" s="141">
        <f>+'SMAW-SMAW'!A39</f>
        <v>22</v>
      </c>
      <c r="B39" s="142"/>
      <c r="C39" s="143"/>
      <c r="D39" s="143"/>
      <c r="E39" s="144"/>
      <c r="F39" s="145"/>
      <c r="G39" s="145"/>
      <c r="H39" s="145"/>
      <c r="I39" s="146"/>
      <c r="J39" s="147"/>
      <c r="K39" s="145"/>
      <c r="L39" s="145"/>
      <c r="M39" s="145"/>
      <c r="N39" s="145"/>
      <c r="O39" s="145"/>
      <c r="P39" s="145"/>
      <c r="Q39" s="147"/>
      <c r="R39" s="147"/>
      <c r="S39" s="128"/>
      <c r="T39" s="128"/>
      <c r="U39" s="145"/>
      <c r="V39" s="145"/>
      <c r="W39" s="128">
        <f t="shared" si="15"/>
        <v>0</v>
      </c>
    </row>
    <row r="40" spans="1:23" ht="12.75">
      <c r="A40" s="141">
        <f>+'SMAW-SMAW'!A40</f>
        <v>23</v>
      </c>
      <c r="B40" s="142">
        <v>1</v>
      </c>
      <c r="C40" s="143">
        <v>33.4</v>
      </c>
      <c r="D40" s="143">
        <v>1.65</v>
      </c>
      <c r="E40" s="144" t="s">
        <v>81</v>
      </c>
      <c r="F40" s="145">
        <f aca="true" t="shared" si="31" ref="F40:F49">IF($D$6=1,2,3)</f>
        <v>2</v>
      </c>
      <c r="G40" s="145">
        <f aca="true" t="shared" si="32" ref="G40:G49">IF(D40&lt;2,D40,2)</f>
        <v>1.65</v>
      </c>
      <c r="H40" s="145">
        <f aca="true" t="shared" si="33" ref="H40:H49">IF(D40&lt;=19,2,3)</f>
        <v>2</v>
      </c>
      <c r="I40" s="146">
        <f aca="true" t="shared" si="34" ref="I40:I49">IF(D40&lt;=19,(D40-G40)*TAN($C$8*PI()/180),(19-G40)*TAN($C$8*PI()/180))</f>
        <v>0</v>
      </c>
      <c r="J40" s="147"/>
      <c r="K40" s="145">
        <f aca="true" t="shared" si="35" ref="K40:K49">IF(D40&lt;=19,0,(D40-19)*TAN($C$10*PI()/180))</f>
        <v>0</v>
      </c>
      <c r="L40" s="145">
        <f aca="true" t="shared" si="36" ref="L40:L49">+F40*(G40*1.5)</f>
        <v>4.949999999999999</v>
      </c>
      <c r="M40" s="145">
        <f aca="true" t="shared" si="37" ref="M40:M49">+F40*(D40-G40)</f>
        <v>0</v>
      </c>
      <c r="N40" s="145">
        <f aca="true" t="shared" si="38" ref="N40:N49">IF(D40&lt;=19,(D40-G40)*I40,(19-G40)*I40)</f>
        <v>0</v>
      </c>
      <c r="O40" s="145">
        <f aca="true" t="shared" si="39" ref="O40:O49">IF(D40&lt;=19,0,(I40*(D40-19)*2)+((K40)*(D40-19)))</f>
        <v>0</v>
      </c>
      <c r="P40" s="145">
        <f aca="true" t="shared" si="40" ref="P40:P49">+(5+F40+(2*(I40+K40)))*H40</f>
        <v>14</v>
      </c>
      <c r="Q40" s="147">
        <f aca="true" t="shared" si="41" ref="Q40:Q49">SUM(M40:P40)</f>
        <v>14</v>
      </c>
      <c r="R40" s="147"/>
      <c r="S40" s="128">
        <f aca="true" t="shared" si="42" ref="S40:S49">IF(D$6=1,(PI()*(C40-(2*D40)+(2*G40))*L40*0.1*0.01*7.85*0.001/(S$16*S$17)),0)</f>
        <v>0.005662897472682366</v>
      </c>
      <c r="T40" s="128">
        <f aca="true" t="shared" si="43" ref="T40:T49">IF(D$6=1,(PI()*(C40-(0.5*D40))*(Q40)*0.1*0.01*7.85*0.001/(T$16*T$17)),0)</f>
        <v>0.015620664080425768</v>
      </c>
      <c r="U40" s="145">
        <f aca="true" t="shared" si="44" ref="U40:U49">IF(D$6=1,0,(PI()*(C40-(2*D40)+(2*G40))*L40*0.1*0.01*7.85*0.001/(U$16*U$17)))</f>
        <v>0</v>
      </c>
      <c r="V40" s="145">
        <f aca="true" t="shared" si="45" ref="V40:V49">IF(D$6=1,0,(PI()*(C40-(0.5*D40))*(Q40)*0.1*0.01*7.85*0.001/(V$16*V$17)))</f>
        <v>0</v>
      </c>
      <c r="W40" s="128">
        <f t="shared" si="15"/>
        <v>0</v>
      </c>
    </row>
    <row r="41" spans="1:23" ht="12.75">
      <c r="A41" s="141">
        <f>+'SMAW-SMAW'!A41</f>
        <v>24</v>
      </c>
      <c r="B41" s="142">
        <v>1</v>
      </c>
      <c r="C41" s="143">
        <v>33.4</v>
      </c>
      <c r="D41" s="143">
        <v>2.77</v>
      </c>
      <c r="E41" s="144" t="s">
        <v>84</v>
      </c>
      <c r="F41" s="145">
        <f t="shared" si="31"/>
        <v>2</v>
      </c>
      <c r="G41" s="145">
        <f t="shared" si="32"/>
        <v>2</v>
      </c>
      <c r="H41" s="145">
        <f t="shared" si="33"/>
        <v>2</v>
      </c>
      <c r="I41" s="146">
        <f t="shared" si="34"/>
        <v>0.5908417807437994</v>
      </c>
      <c r="J41" s="147"/>
      <c r="K41" s="145">
        <f t="shared" si="35"/>
        <v>0</v>
      </c>
      <c r="L41" s="145">
        <f t="shared" si="36"/>
        <v>6</v>
      </c>
      <c r="M41" s="145">
        <f t="shared" si="37"/>
        <v>1.54</v>
      </c>
      <c r="N41" s="145">
        <f t="shared" si="38"/>
        <v>0.45494817117272557</v>
      </c>
      <c r="O41" s="145">
        <f t="shared" si="39"/>
        <v>0</v>
      </c>
      <c r="P41" s="145">
        <f t="shared" si="40"/>
        <v>16.3633671229752</v>
      </c>
      <c r="Q41" s="147">
        <f t="shared" si="41"/>
        <v>18.358315294147925</v>
      </c>
      <c r="R41" s="147"/>
      <c r="S41" s="128">
        <f t="shared" si="42"/>
        <v>0.006547628868795506</v>
      </c>
      <c r="T41" s="128">
        <f t="shared" si="43"/>
        <v>0.020131371510803794</v>
      </c>
      <c r="U41" s="145">
        <f t="shared" si="44"/>
        <v>0</v>
      </c>
      <c r="V41" s="145">
        <f t="shared" si="45"/>
        <v>0</v>
      </c>
      <c r="W41" s="128">
        <f t="shared" si="15"/>
        <v>0</v>
      </c>
    </row>
    <row r="42" spans="1:23" ht="12.75">
      <c r="A42" s="141">
        <f>+'SMAW-SMAW'!A42</f>
        <v>25</v>
      </c>
      <c r="B42" s="142">
        <v>1</v>
      </c>
      <c r="C42" s="143">
        <v>33.4</v>
      </c>
      <c r="D42" s="143">
        <v>3.38</v>
      </c>
      <c r="E42" s="144" t="s">
        <v>85</v>
      </c>
      <c r="F42" s="145">
        <f t="shared" si="31"/>
        <v>2</v>
      </c>
      <c r="G42" s="145">
        <f t="shared" si="32"/>
        <v>2</v>
      </c>
      <c r="H42" s="145">
        <f t="shared" si="33"/>
        <v>2</v>
      </c>
      <c r="I42" s="146">
        <f t="shared" si="34"/>
        <v>1.0589112434109653</v>
      </c>
      <c r="J42" s="147"/>
      <c r="K42" s="145">
        <f t="shared" si="35"/>
        <v>0</v>
      </c>
      <c r="L42" s="145">
        <f t="shared" si="36"/>
        <v>6</v>
      </c>
      <c r="M42" s="145">
        <f t="shared" si="37"/>
        <v>2.76</v>
      </c>
      <c r="N42" s="145">
        <f t="shared" si="38"/>
        <v>1.461297515907132</v>
      </c>
      <c r="O42" s="145">
        <f t="shared" si="39"/>
        <v>0</v>
      </c>
      <c r="P42" s="145">
        <f t="shared" si="40"/>
        <v>18.23564497364386</v>
      </c>
      <c r="Q42" s="147">
        <f t="shared" si="41"/>
        <v>22.456942489550993</v>
      </c>
      <c r="R42" s="147"/>
      <c r="S42" s="128">
        <f t="shared" si="42"/>
        <v>0.00629690359510026</v>
      </c>
      <c r="T42" s="128">
        <f t="shared" si="43"/>
        <v>0.024391241254172</v>
      </c>
      <c r="U42" s="145">
        <f t="shared" si="44"/>
        <v>0</v>
      </c>
      <c r="V42" s="145">
        <f t="shared" si="45"/>
        <v>0</v>
      </c>
      <c r="W42" s="128">
        <f t="shared" si="15"/>
        <v>0</v>
      </c>
    </row>
    <row r="43" spans="1:23" ht="12.75">
      <c r="A43" s="141">
        <f>+'SMAW-SMAW'!A43</f>
        <v>26</v>
      </c>
      <c r="B43" s="142">
        <v>1</v>
      </c>
      <c r="C43" s="143">
        <v>33.4</v>
      </c>
      <c r="D43" s="143">
        <v>3.38</v>
      </c>
      <c r="E43" s="144" t="s">
        <v>86</v>
      </c>
      <c r="F43" s="145">
        <f t="shared" si="31"/>
        <v>2</v>
      </c>
      <c r="G43" s="145">
        <f t="shared" si="32"/>
        <v>2</v>
      </c>
      <c r="H43" s="145">
        <f t="shared" si="33"/>
        <v>2</v>
      </c>
      <c r="I43" s="146">
        <f t="shared" si="34"/>
        <v>1.0589112434109653</v>
      </c>
      <c r="J43" s="147"/>
      <c r="K43" s="145">
        <f t="shared" si="35"/>
        <v>0</v>
      </c>
      <c r="L43" s="145">
        <f t="shared" si="36"/>
        <v>6</v>
      </c>
      <c r="M43" s="145">
        <f t="shared" si="37"/>
        <v>2.76</v>
      </c>
      <c r="N43" s="145">
        <f t="shared" si="38"/>
        <v>1.461297515907132</v>
      </c>
      <c r="O43" s="145">
        <f t="shared" si="39"/>
        <v>0</v>
      </c>
      <c r="P43" s="145">
        <f t="shared" si="40"/>
        <v>18.23564497364386</v>
      </c>
      <c r="Q43" s="147">
        <f t="shared" si="41"/>
        <v>22.456942489550993</v>
      </c>
      <c r="R43" s="147"/>
      <c r="S43" s="128">
        <f t="shared" si="42"/>
        <v>0.00629690359510026</v>
      </c>
      <c r="T43" s="128">
        <f t="shared" si="43"/>
        <v>0.024391241254172</v>
      </c>
      <c r="U43" s="145">
        <f t="shared" si="44"/>
        <v>0</v>
      </c>
      <c r="V43" s="145">
        <f t="shared" si="45"/>
        <v>0</v>
      </c>
      <c r="W43" s="128">
        <f t="shared" si="15"/>
        <v>0</v>
      </c>
    </row>
    <row r="44" spans="1:23" ht="12.75">
      <c r="A44" s="141">
        <f>+'SMAW-SMAW'!A44</f>
        <v>27</v>
      </c>
      <c r="B44" s="142">
        <v>1</v>
      </c>
      <c r="C44" s="143">
        <v>33.4</v>
      </c>
      <c r="D44" s="143">
        <v>3.38</v>
      </c>
      <c r="E44" s="144" t="s">
        <v>87</v>
      </c>
      <c r="F44" s="145">
        <f t="shared" si="31"/>
        <v>2</v>
      </c>
      <c r="G44" s="145">
        <f t="shared" si="32"/>
        <v>2</v>
      </c>
      <c r="H44" s="145">
        <f t="shared" si="33"/>
        <v>2</v>
      </c>
      <c r="I44" s="146">
        <f t="shared" si="34"/>
        <v>1.0589112434109653</v>
      </c>
      <c r="J44" s="147"/>
      <c r="K44" s="145">
        <f t="shared" si="35"/>
        <v>0</v>
      </c>
      <c r="L44" s="145">
        <f t="shared" si="36"/>
        <v>6</v>
      </c>
      <c r="M44" s="145">
        <f t="shared" si="37"/>
        <v>2.76</v>
      </c>
      <c r="N44" s="145">
        <f t="shared" si="38"/>
        <v>1.461297515907132</v>
      </c>
      <c r="O44" s="145">
        <f t="shared" si="39"/>
        <v>0</v>
      </c>
      <c r="P44" s="145">
        <f t="shared" si="40"/>
        <v>18.23564497364386</v>
      </c>
      <c r="Q44" s="147">
        <f t="shared" si="41"/>
        <v>22.456942489550993</v>
      </c>
      <c r="R44" s="147"/>
      <c r="S44" s="128">
        <f t="shared" si="42"/>
        <v>0.00629690359510026</v>
      </c>
      <c r="T44" s="128">
        <f t="shared" si="43"/>
        <v>0.024391241254172</v>
      </c>
      <c r="U44" s="145">
        <f t="shared" si="44"/>
        <v>0</v>
      </c>
      <c r="V44" s="145">
        <f t="shared" si="45"/>
        <v>0</v>
      </c>
      <c r="W44" s="128">
        <f t="shared" si="15"/>
        <v>0</v>
      </c>
    </row>
    <row r="45" spans="1:23" ht="12.75">
      <c r="A45" s="141">
        <f>+'SMAW-SMAW'!A45</f>
        <v>28</v>
      </c>
      <c r="B45" s="142">
        <v>1</v>
      </c>
      <c r="C45" s="143">
        <v>33.4</v>
      </c>
      <c r="D45" s="143">
        <v>4.55</v>
      </c>
      <c r="E45" s="144" t="s">
        <v>88</v>
      </c>
      <c r="F45" s="145">
        <f t="shared" si="31"/>
        <v>2</v>
      </c>
      <c r="G45" s="145">
        <f t="shared" si="32"/>
        <v>2</v>
      </c>
      <c r="H45" s="145">
        <f t="shared" si="33"/>
        <v>2</v>
      </c>
      <c r="I45" s="146">
        <f t="shared" si="34"/>
        <v>1.9566838193463487</v>
      </c>
      <c r="J45" s="147"/>
      <c r="K45" s="145">
        <f t="shared" si="35"/>
        <v>0</v>
      </c>
      <c r="L45" s="145">
        <f t="shared" si="36"/>
        <v>6</v>
      </c>
      <c r="M45" s="145">
        <f t="shared" si="37"/>
        <v>5.1</v>
      </c>
      <c r="N45" s="145">
        <f t="shared" si="38"/>
        <v>4.989543739333189</v>
      </c>
      <c r="O45" s="145">
        <f t="shared" si="39"/>
        <v>0</v>
      </c>
      <c r="P45" s="145">
        <f t="shared" si="40"/>
        <v>21.826735277385396</v>
      </c>
      <c r="Q45" s="147">
        <f t="shared" si="41"/>
        <v>31.916279016718583</v>
      </c>
      <c r="R45" s="147"/>
      <c r="S45" s="128">
        <f t="shared" si="42"/>
        <v>0.0058160042996520025</v>
      </c>
      <c r="T45" s="128">
        <f t="shared" si="43"/>
        <v>0.03402582360243076</v>
      </c>
      <c r="U45" s="145">
        <f t="shared" si="44"/>
        <v>0</v>
      </c>
      <c r="V45" s="145">
        <f t="shared" si="45"/>
        <v>0</v>
      </c>
      <c r="W45" s="128">
        <f t="shared" si="15"/>
        <v>0</v>
      </c>
    </row>
    <row r="46" spans="1:23" ht="12.75">
      <c r="A46" s="141">
        <f>+'SMAW-SMAW'!A46</f>
        <v>29</v>
      </c>
      <c r="B46" s="142">
        <v>1</v>
      </c>
      <c r="C46" s="143">
        <v>33.4</v>
      </c>
      <c r="D46" s="143">
        <v>4.55</v>
      </c>
      <c r="E46" s="144" t="s">
        <v>82</v>
      </c>
      <c r="F46" s="145">
        <f t="shared" si="31"/>
        <v>2</v>
      </c>
      <c r="G46" s="145">
        <f t="shared" si="32"/>
        <v>2</v>
      </c>
      <c r="H46" s="145">
        <f t="shared" si="33"/>
        <v>2</v>
      </c>
      <c r="I46" s="146">
        <f t="shared" si="34"/>
        <v>1.9566838193463487</v>
      </c>
      <c r="J46" s="147"/>
      <c r="K46" s="145">
        <f t="shared" si="35"/>
        <v>0</v>
      </c>
      <c r="L46" s="145">
        <f t="shared" si="36"/>
        <v>6</v>
      </c>
      <c r="M46" s="145">
        <f t="shared" si="37"/>
        <v>5.1</v>
      </c>
      <c r="N46" s="145">
        <f t="shared" si="38"/>
        <v>4.989543739333189</v>
      </c>
      <c r="O46" s="145">
        <f t="shared" si="39"/>
        <v>0</v>
      </c>
      <c r="P46" s="145">
        <f t="shared" si="40"/>
        <v>21.826735277385396</v>
      </c>
      <c r="Q46" s="147">
        <f t="shared" si="41"/>
        <v>31.916279016718583</v>
      </c>
      <c r="R46" s="147"/>
      <c r="S46" s="128">
        <f t="shared" si="42"/>
        <v>0.0058160042996520025</v>
      </c>
      <c r="T46" s="128">
        <f t="shared" si="43"/>
        <v>0.03402582360243076</v>
      </c>
      <c r="U46" s="145">
        <f t="shared" si="44"/>
        <v>0</v>
      </c>
      <c r="V46" s="145">
        <f t="shared" si="45"/>
        <v>0</v>
      </c>
      <c r="W46" s="128">
        <f t="shared" si="15"/>
        <v>0</v>
      </c>
    </row>
    <row r="47" spans="1:23" ht="12.75">
      <c r="A47" s="141">
        <f>+'SMAW-SMAW'!A47</f>
        <v>30</v>
      </c>
      <c r="B47" s="142">
        <v>1</v>
      </c>
      <c r="C47" s="143">
        <v>33.4</v>
      </c>
      <c r="D47" s="143">
        <v>4.55</v>
      </c>
      <c r="E47" s="144" t="s">
        <v>89</v>
      </c>
      <c r="F47" s="145">
        <f t="shared" si="31"/>
        <v>2</v>
      </c>
      <c r="G47" s="145">
        <f t="shared" si="32"/>
        <v>2</v>
      </c>
      <c r="H47" s="145">
        <f t="shared" si="33"/>
        <v>2</v>
      </c>
      <c r="I47" s="146">
        <f t="shared" si="34"/>
        <v>1.9566838193463487</v>
      </c>
      <c r="J47" s="147"/>
      <c r="K47" s="145">
        <f t="shared" si="35"/>
        <v>0</v>
      </c>
      <c r="L47" s="145">
        <f t="shared" si="36"/>
        <v>6</v>
      </c>
      <c r="M47" s="145">
        <f t="shared" si="37"/>
        <v>5.1</v>
      </c>
      <c r="N47" s="145">
        <f t="shared" si="38"/>
        <v>4.989543739333189</v>
      </c>
      <c r="O47" s="145">
        <f t="shared" si="39"/>
        <v>0</v>
      </c>
      <c r="P47" s="145">
        <f t="shared" si="40"/>
        <v>21.826735277385396</v>
      </c>
      <c r="Q47" s="147">
        <f t="shared" si="41"/>
        <v>31.916279016718583</v>
      </c>
      <c r="R47" s="147"/>
      <c r="S47" s="128">
        <f t="shared" si="42"/>
        <v>0.0058160042996520025</v>
      </c>
      <c r="T47" s="128">
        <f t="shared" si="43"/>
        <v>0.03402582360243076</v>
      </c>
      <c r="U47" s="145">
        <f t="shared" si="44"/>
        <v>0</v>
      </c>
      <c r="V47" s="145">
        <f t="shared" si="45"/>
        <v>0</v>
      </c>
      <c r="W47" s="128">
        <f t="shared" si="15"/>
        <v>0</v>
      </c>
    </row>
    <row r="48" spans="1:23" ht="12.75">
      <c r="A48" s="141">
        <f>+'SMAW-SMAW'!A48</f>
        <v>31</v>
      </c>
      <c r="B48" s="142">
        <v>1</v>
      </c>
      <c r="C48" s="143">
        <v>33.4</v>
      </c>
      <c r="D48" s="143">
        <v>6.35</v>
      </c>
      <c r="E48" s="144" t="s">
        <v>90</v>
      </c>
      <c r="F48" s="145">
        <f t="shared" si="31"/>
        <v>2</v>
      </c>
      <c r="G48" s="145">
        <f t="shared" si="32"/>
        <v>2</v>
      </c>
      <c r="H48" s="145">
        <f t="shared" si="33"/>
        <v>2</v>
      </c>
      <c r="I48" s="146">
        <f t="shared" si="34"/>
        <v>3.337872397708477</v>
      </c>
      <c r="J48" s="147"/>
      <c r="K48" s="145">
        <f t="shared" si="35"/>
        <v>0</v>
      </c>
      <c r="L48" s="145">
        <f t="shared" si="36"/>
        <v>6</v>
      </c>
      <c r="M48" s="145">
        <f t="shared" si="37"/>
        <v>8.7</v>
      </c>
      <c r="N48" s="145">
        <f t="shared" si="38"/>
        <v>14.519744930031875</v>
      </c>
      <c r="O48" s="145">
        <f t="shared" si="39"/>
        <v>0</v>
      </c>
      <c r="P48" s="145">
        <f t="shared" si="40"/>
        <v>27.351489590833907</v>
      </c>
      <c r="Q48" s="147">
        <f t="shared" si="41"/>
        <v>50.57123452086578</v>
      </c>
      <c r="R48" s="147"/>
      <c r="S48" s="128">
        <f t="shared" si="42"/>
        <v>0.005076159229731607</v>
      </c>
      <c r="T48" s="128">
        <f t="shared" si="43"/>
        <v>0.052354847401529264</v>
      </c>
      <c r="U48" s="145">
        <f t="shared" si="44"/>
        <v>0</v>
      </c>
      <c r="V48" s="145">
        <f t="shared" si="45"/>
        <v>0</v>
      </c>
      <c r="W48" s="128">
        <f t="shared" si="15"/>
        <v>0</v>
      </c>
    </row>
    <row r="49" spans="1:23" ht="12.75">
      <c r="A49" s="141">
        <f>+'SMAW-SMAW'!A49</f>
        <v>32</v>
      </c>
      <c r="B49" s="142">
        <v>1</v>
      </c>
      <c r="C49" s="143">
        <v>33.4</v>
      </c>
      <c r="D49" s="143">
        <v>9.091</v>
      </c>
      <c r="E49" s="144" t="s">
        <v>83</v>
      </c>
      <c r="F49" s="145">
        <f t="shared" si="31"/>
        <v>2</v>
      </c>
      <c r="G49" s="145">
        <f t="shared" si="32"/>
        <v>2</v>
      </c>
      <c r="H49" s="145">
        <f t="shared" si="33"/>
        <v>2</v>
      </c>
      <c r="I49" s="146">
        <f t="shared" si="34"/>
        <v>5.441115671758808</v>
      </c>
      <c r="J49" s="147"/>
      <c r="K49" s="145">
        <f t="shared" si="35"/>
        <v>0</v>
      </c>
      <c r="L49" s="145">
        <f t="shared" si="36"/>
        <v>6</v>
      </c>
      <c r="M49" s="145">
        <f t="shared" si="37"/>
        <v>14.181999999999999</v>
      </c>
      <c r="N49" s="145">
        <f t="shared" si="38"/>
        <v>38.5829512284417</v>
      </c>
      <c r="O49" s="145">
        <f t="shared" si="39"/>
        <v>0</v>
      </c>
      <c r="P49" s="145">
        <f t="shared" si="40"/>
        <v>35.764462687035234</v>
      </c>
      <c r="Q49" s="147">
        <f t="shared" si="41"/>
        <v>88.52941391547694</v>
      </c>
      <c r="R49" s="147"/>
      <c r="S49" s="128">
        <f t="shared" si="42"/>
        <v>0.003949539598258381</v>
      </c>
      <c r="T49" s="128">
        <f t="shared" si="43"/>
        <v>0.08749599518905579</v>
      </c>
      <c r="U49" s="145">
        <f t="shared" si="44"/>
        <v>0</v>
      </c>
      <c r="V49" s="145">
        <f t="shared" si="45"/>
        <v>0</v>
      </c>
      <c r="W49" s="128">
        <f t="shared" si="15"/>
        <v>0</v>
      </c>
    </row>
    <row r="50" spans="1:23" ht="12.75">
      <c r="A50" s="141">
        <f>+'SMAW-SMAW'!A50</f>
        <v>33</v>
      </c>
      <c r="B50" s="142"/>
      <c r="C50" s="143"/>
      <c r="D50" s="143"/>
      <c r="E50" s="144"/>
      <c r="F50" s="145"/>
      <c r="G50" s="145"/>
      <c r="H50" s="145"/>
      <c r="I50" s="146"/>
      <c r="J50" s="147"/>
      <c r="K50" s="145"/>
      <c r="L50" s="145"/>
      <c r="M50" s="145"/>
      <c r="N50" s="145"/>
      <c r="O50" s="145"/>
      <c r="P50" s="145"/>
      <c r="Q50" s="147"/>
      <c r="R50" s="147"/>
      <c r="S50" s="128"/>
      <c r="T50" s="128"/>
      <c r="U50" s="145"/>
      <c r="V50" s="145"/>
      <c r="W50" s="128">
        <f t="shared" si="15"/>
        <v>0</v>
      </c>
    </row>
    <row r="51" spans="1:23" ht="12.75">
      <c r="A51" s="141">
        <f>+'SMAW-SMAW'!A51</f>
        <v>34</v>
      </c>
      <c r="B51" s="142">
        <v>1.25</v>
      </c>
      <c r="C51" s="143">
        <v>42.65</v>
      </c>
      <c r="D51" s="143">
        <v>1.65</v>
      </c>
      <c r="E51" s="144" t="s">
        <v>81</v>
      </c>
      <c r="F51" s="145">
        <f aca="true" t="shared" si="46" ref="F51:F60">IF($D$6=1,2,3)</f>
        <v>2</v>
      </c>
      <c r="G51" s="145">
        <f aca="true" t="shared" si="47" ref="G51:G60">IF(D51&lt;2,D51,2)</f>
        <v>1.65</v>
      </c>
      <c r="H51" s="145">
        <f aca="true" t="shared" si="48" ref="H51:H60">IF(D51&lt;=19,2,3)</f>
        <v>2</v>
      </c>
      <c r="I51" s="146">
        <f aca="true" t="shared" si="49" ref="I51:I60">IF(D51&lt;=19,(D51-G51)*TAN($C$8*PI()/180),(19-G51)*TAN($C$8*PI()/180))</f>
        <v>0</v>
      </c>
      <c r="J51" s="147"/>
      <c r="K51" s="145">
        <f aca="true" t="shared" si="50" ref="K51:K60">IF(D51&lt;=19,0,(D51-19)*TAN($C$10*PI()/180))</f>
        <v>0</v>
      </c>
      <c r="L51" s="145">
        <f aca="true" t="shared" si="51" ref="L51:L60">+F51*(G51*1.5)</f>
        <v>4.949999999999999</v>
      </c>
      <c r="M51" s="145">
        <f aca="true" t="shared" si="52" ref="M51:M60">+F51*(D51-G51)</f>
        <v>0</v>
      </c>
      <c r="N51" s="145">
        <f aca="true" t="shared" si="53" ref="N51:N60">IF(D51&lt;=19,(D51-G51)*I51,(19-G51)*I51)</f>
        <v>0</v>
      </c>
      <c r="O51" s="145">
        <f aca="true" t="shared" si="54" ref="O51:O60">IF(D51&lt;=19,0,(I51*(D51-19)*2)+((K51)*(D51-19)))</f>
        <v>0</v>
      </c>
      <c r="P51" s="145">
        <f aca="true" t="shared" si="55" ref="P51:P60">+(5+F51+(2*(I51+K51)))*H51</f>
        <v>14</v>
      </c>
      <c r="Q51" s="147">
        <f aca="true" t="shared" si="56" ref="Q51:Q60">SUM(M51:P51)</f>
        <v>14</v>
      </c>
      <c r="R51" s="147"/>
      <c r="S51" s="128">
        <f aca="true" t="shared" si="57" ref="S51:S60">IF(D$6=1,(PI()*(C51-(2*D51)+(2*G51))*L51*0.1*0.01*7.85*0.001/(S$16*S$17)),0)</f>
        <v>0.007231214886524037</v>
      </c>
      <c r="T51" s="128">
        <f aca="true" t="shared" si="58" ref="T51:T60">IF(D$6=1,(PI()*(C51-(0.5*D51))*(Q51)*0.1*0.01*7.85*0.001/(T$16*T$17)),0)</f>
        <v>0.02005630929129111</v>
      </c>
      <c r="U51" s="145">
        <f aca="true" t="shared" si="59" ref="U51:U60">IF(D$6=1,0,(PI()*(C51-(2*D51)+(2*G51))*L51*0.1*0.01*7.85*0.001/(U$16*U$17)))</f>
        <v>0</v>
      </c>
      <c r="V51" s="145">
        <f aca="true" t="shared" si="60" ref="V51:V60">IF(D$6=1,0,(PI()*(C51-(0.5*D51))*(Q51)*0.1*0.01*7.85*0.001/(V$16*V$17)))</f>
        <v>0</v>
      </c>
      <c r="W51" s="128">
        <f t="shared" si="15"/>
        <v>0</v>
      </c>
    </row>
    <row r="52" spans="1:23" ht="12.75">
      <c r="A52" s="141">
        <f>+'SMAW-SMAW'!A52</f>
        <v>35</v>
      </c>
      <c r="B52" s="142">
        <v>1.25</v>
      </c>
      <c r="C52" s="143">
        <v>42.65</v>
      </c>
      <c r="D52" s="143">
        <v>2.77</v>
      </c>
      <c r="E52" s="144" t="s">
        <v>84</v>
      </c>
      <c r="F52" s="145">
        <f t="shared" si="46"/>
        <v>2</v>
      </c>
      <c r="G52" s="145">
        <f t="shared" si="47"/>
        <v>2</v>
      </c>
      <c r="H52" s="145">
        <f t="shared" si="48"/>
        <v>2</v>
      </c>
      <c r="I52" s="146">
        <f t="shared" si="49"/>
        <v>0.5908417807437994</v>
      </c>
      <c r="J52" s="147"/>
      <c r="K52" s="145">
        <f t="shared" si="50"/>
        <v>0</v>
      </c>
      <c r="L52" s="145">
        <f t="shared" si="51"/>
        <v>6</v>
      </c>
      <c r="M52" s="145">
        <f t="shared" si="52"/>
        <v>1.54</v>
      </c>
      <c r="N52" s="145">
        <f t="shared" si="53"/>
        <v>0.45494817117272557</v>
      </c>
      <c r="O52" s="145">
        <f t="shared" si="54"/>
        <v>0</v>
      </c>
      <c r="P52" s="145">
        <f t="shared" si="55"/>
        <v>16.3633671229752</v>
      </c>
      <c r="Q52" s="147">
        <f t="shared" si="56"/>
        <v>18.358315294147925</v>
      </c>
      <c r="R52" s="147"/>
      <c r="S52" s="128">
        <f t="shared" si="57"/>
        <v>0.00844861967345208</v>
      </c>
      <c r="T52" s="128">
        <f t="shared" si="58"/>
        <v>0.025947869604664015</v>
      </c>
      <c r="U52" s="145">
        <f t="shared" si="59"/>
        <v>0</v>
      </c>
      <c r="V52" s="145">
        <f t="shared" si="60"/>
        <v>0</v>
      </c>
      <c r="W52" s="128">
        <f t="shared" si="15"/>
        <v>0</v>
      </c>
    </row>
    <row r="53" spans="1:23" ht="12.75">
      <c r="A53" s="141">
        <f>+'SMAW-SMAW'!A53</f>
        <v>36</v>
      </c>
      <c r="B53" s="142">
        <v>1.25</v>
      </c>
      <c r="C53" s="143">
        <v>42.65</v>
      </c>
      <c r="D53" s="143">
        <v>3.56</v>
      </c>
      <c r="E53" s="144" t="s">
        <v>85</v>
      </c>
      <c r="F53" s="145">
        <f t="shared" si="46"/>
        <v>2</v>
      </c>
      <c r="G53" s="145">
        <f t="shared" si="47"/>
        <v>2</v>
      </c>
      <c r="H53" s="145">
        <f t="shared" si="48"/>
        <v>2</v>
      </c>
      <c r="I53" s="146">
        <f t="shared" si="49"/>
        <v>1.1970301012471782</v>
      </c>
      <c r="J53" s="147"/>
      <c r="K53" s="145">
        <f t="shared" si="50"/>
        <v>0</v>
      </c>
      <c r="L53" s="145">
        <f t="shared" si="51"/>
        <v>6</v>
      </c>
      <c r="M53" s="145">
        <f t="shared" si="52"/>
        <v>3.12</v>
      </c>
      <c r="N53" s="145">
        <f t="shared" si="53"/>
        <v>1.867366957945598</v>
      </c>
      <c r="O53" s="145">
        <f t="shared" si="54"/>
        <v>0</v>
      </c>
      <c r="P53" s="145">
        <f t="shared" si="55"/>
        <v>18.788120404988714</v>
      </c>
      <c r="Q53" s="147">
        <f t="shared" si="56"/>
        <v>23.775487362934314</v>
      </c>
      <c r="R53" s="147"/>
      <c r="S53" s="128">
        <f t="shared" si="57"/>
        <v>0.008123909892764796</v>
      </c>
      <c r="T53" s="128">
        <f t="shared" si="58"/>
        <v>0.033282895301061675</v>
      </c>
      <c r="U53" s="145">
        <f t="shared" si="59"/>
        <v>0</v>
      </c>
      <c r="V53" s="145">
        <f t="shared" si="60"/>
        <v>0</v>
      </c>
      <c r="W53" s="128">
        <f t="shared" si="15"/>
        <v>0</v>
      </c>
    </row>
    <row r="54" spans="1:23" ht="12.75">
      <c r="A54" s="141">
        <f>+'SMAW-SMAW'!A54</f>
        <v>37</v>
      </c>
      <c r="B54" s="142">
        <v>1.25</v>
      </c>
      <c r="C54" s="143">
        <v>42.65</v>
      </c>
      <c r="D54" s="143">
        <v>3.56</v>
      </c>
      <c r="E54" s="144" t="s">
        <v>86</v>
      </c>
      <c r="F54" s="145">
        <f t="shared" si="46"/>
        <v>2</v>
      </c>
      <c r="G54" s="145">
        <f t="shared" si="47"/>
        <v>2</v>
      </c>
      <c r="H54" s="145">
        <f t="shared" si="48"/>
        <v>2</v>
      </c>
      <c r="I54" s="146">
        <f t="shared" si="49"/>
        <v>1.1970301012471782</v>
      </c>
      <c r="J54" s="147"/>
      <c r="K54" s="145">
        <f t="shared" si="50"/>
        <v>0</v>
      </c>
      <c r="L54" s="145">
        <f t="shared" si="51"/>
        <v>6</v>
      </c>
      <c r="M54" s="145">
        <f t="shared" si="52"/>
        <v>3.12</v>
      </c>
      <c r="N54" s="145">
        <f t="shared" si="53"/>
        <v>1.867366957945598</v>
      </c>
      <c r="O54" s="145">
        <f t="shared" si="54"/>
        <v>0</v>
      </c>
      <c r="P54" s="145">
        <f t="shared" si="55"/>
        <v>18.788120404988714</v>
      </c>
      <c r="Q54" s="147">
        <f t="shared" si="56"/>
        <v>23.775487362934314</v>
      </c>
      <c r="R54" s="147"/>
      <c r="S54" s="128">
        <f t="shared" si="57"/>
        <v>0.008123909892764796</v>
      </c>
      <c r="T54" s="128">
        <f t="shared" si="58"/>
        <v>0.033282895301061675</v>
      </c>
      <c r="U54" s="145">
        <f t="shared" si="59"/>
        <v>0</v>
      </c>
      <c r="V54" s="145">
        <f t="shared" si="60"/>
        <v>0</v>
      </c>
      <c r="W54" s="128">
        <f t="shared" si="15"/>
        <v>0</v>
      </c>
    </row>
    <row r="55" spans="1:23" ht="12.75">
      <c r="A55" s="141">
        <f>+'SMAW-SMAW'!A55</f>
        <v>38</v>
      </c>
      <c r="B55" s="142">
        <v>1.25</v>
      </c>
      <c r="C55" s="143">
        <v>42.65</v>
      </c>
      <c r="D55" s="143">
        <v>3.56</v>
      </c>
      <c r="E55" s="144" t="s">
        <v>87</v>
      </c>
      <c r="F55" s="145">
        <f t="shared" si="46"/>
        <v>2</v>
      </c>
      <c r="G55" s="145">
        <f t="shared" si="47"/>
        <v>2</v>
      </c>
      <c r="H55" s="145">
        <f t="shared" si="48"/>
        <v>2</v>
      </c>
      <c r="I55" s="146">
        <f t="shared" si="49"/>
        <v>1.1970301012471782</v>
      </c>
      <c r="J55" s="147"/>
      <c r="K55" s="145">
        <f t="shared" si="50"/>
        <v>0</v>
      </c>
      <c r="L55" s="145">
        <f t="shared" si="51"/>
        <v>6</v>
      </c>
      <c r="M55" s="145">
        <f t="shared" si="52"/>
        <v>3.12</v>
      </c>
      <c r="N55" s="145">
        <f t="shared" si="53"/>
        <v>1.867366957945598</v>
      </c>
      <c r="O55" s="145">
        <f t="shared" si="54"/>
        <v>0</v>
      </c>
      <c r="P55" s="145">
        <f t="shared" si="55"/>
        <v>18.788120404988714</v>
      </c>
      <c r="Q55" s="147">
        <f t="shared" si="56"/>
        <v>23.775487362934314</v>
      </c>
      <c r="R55" s="147"/>
      <c r="S55" s="128">
        <f t="shared" si="57"/>
        <v>0.008123909892764796</v>
      </c>
      <c r="T55" s="128">
        <f t="shared" si="58"/>
        <v>0.033282895301061675</v>
      </c>
      <c r="U55" s="145">
        <f t="shared" si="59"/>
        <v>0</v>
      </c>
      <c r="V55" s="145">
        <f t="shared" si="60"/>
        <v>0</v>
      </c>
      <c r="W55" s="128">
        <f t="shared" si="15"/>
        <v>0</v>
      </c>
    </row>
    <row r="56" spans="1:23" ht="12.75">
      <c r="A56" s="141">
        <f>+'SMAW-SMAW'!A56</f>
        <v>39</v>
      </c>
      <c r="B56" s="142">
        <v>1.25</v>
      </c>
      <c r="C56" s="143">
        <v>42.65</v>
      </c>
      <c r="D56" s="143">
        <v>4.85</v>
      </c>
      <c r="E56" s="144" t="s">
        <v>88</v>
      </c>
      <c r="F56" s="145">
        <f t="shared" si="46"/>
        <v>2</v>
      </c>
      <c r="G56" s="145">
        <f t="shared" si="47"/>
        <v>2</v>
      </c>
      <c r="H56" s="145">
        <f t="shared" si="48"/>
        <v>2</v>
      </c>
      <c r="I56" s="146">
        <f t="shared" si="49"/>
        <v>2.1868819157400368</v>
      </c>
      <c r="J56" s="147"/>
      <c r="K56" s="145">
        <f t="shared" si="50"/>
        <v>0</v>
      </c>
      <c r="L56" s="145">
        <f t="shared" si="51"/>
        <v>6</v>
      </c>
      <c r="M56" s="145">
        <f t="shared" si="52"/>
        <v>5.699999999999999</v>
      </c>
      <c r="N56" s="145">
        <f t="shared" si="53"/>
        <v>6.232613459859104</v>
      </c>
      <c r="O56" s="145">
        <f t="shared" si="54"/>
        <v>0</v>
      </c>
      <c r="P56" s="145">
        <f t="shared" si="55"/>
        <v>22.747527662960145</v>
      </c>
      <c r="Q56" s="147">
        <f t="shared" si="56"/>
        <v>34.68014112281925</v>
      </c>
      <c r="R56" s="147"/>
      <c r="S56" s="128">
        <f t="shared" si="57"/>
        <v>0.0075936875926551775</v>
      </c>
      <c r="T56" s="128">
        <f t="shared" si="58"/>
        <v>0.047781957959586834</v>
      </c>
      <c r="U56" s="145">
        <f t="shared" si="59"/>
        <v>0</v>
      </c>
      <c r="V56" s="145">
        <f t="shared" si="60"/>
        <v>0</v>
      </c>
      <c r="W56" s="128">
        <f t="shared" si="15"/>
        <v>0</v>
      </c>
    </row>
    <row r="57" spans="1:23" ht="12.75">
      <c r="A57" s="141">
        <f>+'SMAW-SMAW'!A57</f>
        <v>40</v>
      </c>
      <c r="B57" s="142">
        <v>1.25</v>
      </c>
      <c r="C57" s="143">
        <v>42.65</v>
      </c>
      <c r="D57" s="143">
        <v>4.85</v>
      </c>
      <c r="E57" s="144" t="s">
        <v>82</v>
      </c>
      <c r="F57" s="145">
        <f t="shared" si="46"/>
        <v>2</v>
      </c>
      <c r="G57" s="145">
        <f t="shared" si="47"/>
        <v>2</v>
      </c>
      <c r="H57" s="145">
        <f t="shared" si="48"/>
        <v>2</v>
      </c>
      <c r="I57" s="146">
        <f t="shared" si="49"/>
        <v>2.1868819157400368</v>
      </c>
      <c r="J57" s="147"/>
      <c r="K57" s="145">
        <f t="shared" si="50"/>
        <v>0</v>
      </c>
      <c r="L57" s="145">
        <f t="shared" si="51"/>
        <v>6</v>
      </c>
      <c r="M57" s="145">
        <f t="shared" si="52"/>
        <v>5.699999999999999</v>
      </c>
      <c r="N57" s="145">
        <f t="shared" si="53"/>
        <v>6.232613459859104</v>
      </c>
      <c r="O57" s="145">
        <f t="shared" si="54"/>
        <v>0</v>
      </c>
      <c r="P57" s="145">
        <f t="shared" si="55"/>
        <v>22.747527662960145</v>
      </c>
      <c r="Q57" s="147">
        <f t="shared" si="56"/>
        <v>34.68014112281925</v>
      </c>
      <c r="R57" s="147"/>
      <c r="S57" s="128">
        <f t="shared" si="57"/>
        <v>0.0075936875926551775</v>
      </c>
      <c r="T57" s="128">
        <f t="shared" si="58"/>
        <v>0.047781957959586834</v>
      </c>
      <c r="U57" s="145">
        <f t="shared" si="59"/>
        <v>0</v>
      </c>
      <c r="V57" s="145">
        <f t="shared" si="60"/>
        <v>0</v>
      </c>
      <c r="W57" s="128">
        <f t="shared" si="15"/>
        <v>0</v>
      </c>
    </row>
    <row r="58" spans="1:23" ht="12.75">
      <c r="A58" s="141">
        <f>+'SMAW-SMAW'!A58</f>
        <v>41</v>
      </c>
      <c r="B58" s="142">
        <v>1.25</v>
      </c>
      <c r="C58" s="143">
        <v>42.65</v>
      </c>
      <c r="D58" s="143">
        <v>4.85</v>
      </c>
      <c r="E58" s="144" t="s">
        <v>89</v>
      </c>
      <c r="F58" s="145">
        <f t="shared" si="46"/>
        <v>2</v>
      </c>
      <c r="G58" s="145">
        <f t="shared" si="47"/>
        <v>2</v>
      </c>
      <c r="H58" s="145">
        <f t="shared" si="48"/>
        <v>2</v>
      </c>
      <c r="I58" s="146">
        <f t="shared" si="49"/>
        <v>2.1868819157400368</v>
      </c>
      <c r="J58" s="147"/>
      <c r="K58" s="145">
        <f t="shared" si="50"/>
        <v>0</v>
      </c>
      <c r="L58" s="145">
        <f t="shared" si="51"/>
        <v>6</v>
      </c>
      <c r="M58" s="145">
        <f t="shared" si="52"/>
        <v>5.699999999999999</v>
      </c>
      <c r="N58" s="145">
        <f t="shared" si="53"/>
        <v>6.232613459859104</v>
      </c>
      <c r="O58" s="145">
        <f t="shared" si="54"/>
        <v>0</v>
      </c>
      <c r="P58" s="145">
        <f t="shared" si="55"/>
        <v>22.747527662960145</v>
      </c>
      <c r="Q58" s="147">
        <f t="shared" si="56"/>
        <v>34.68014112281925</v>
      </c>
      <c r="R58" s="147"/>
      <c r="S58" s="128">
        <f t="shared" si="57"/>
        <v>0.0075936875926551775</v>
      </c>
      <c r="T58" s="128">
        <f t="shared" si="58"/>
        <v>0.047781957959586834</v>
      </c>
      <c r="U58" s="145">
        <f t="shared" si="59"/>
        <v>0</v>
      </c>
      <c r="V58" s="145">
        <f t="shared" si="60"/>
        <v>0</v>
      </c>
      <c r="W58" s="128">
        <f t="shared" si="15"/>
        <v>0</v>
      </c>
    </row>
    <row r="59" spans="1:23" ht="12.75">
      <c r="A59" s="141">
        <f>+'SMAW-SMAW'!A59</f>
        <v>42</v>
      </c>
      <c r="B59" s="142">
        <v>1.25</v>
      </c>
      <c r="C59" s="143">
        <v>42.65</v>
      </c>
      <c r="D59" s="143">
        <v>6.35</v>
      </c>
      <c r="E59" s="144" t="s">
        <v>90</v>
      </c>
      <c r="F59" s="145">
        <f t="shared" si="46"/>
        <v>2</v>
      </c>
      <c r="G59" s="145">
        <f t="shared" si="47"/>
        <v>2</v>
      </c>
      <c r="H59" s="145">
        <f t="shared" si="48"/>
        <v>2</v>
      </c>
      <c r="I59" s="146">
        <f t="shared" si="49"/>
        <v>3.337872397708477</v>
      </c>
      <c r="J59" s="147"/>
      <c r="K59" s="145">
        <f t="shared" si="50"/>
        <v>0</v>
      </c>
      <c r="L59" s="145">
        <f t="shared" si="51"/>
        <v>6</v>
      </c>
      <c r="M59" s="145">
        <f t="shared" si="52"/>
        <v>8.7</v>
      </c>
      <c r="N59" s="145">
        <f t="shared" si="53"/>
        <v>14.519744930031875</v>
      </c>
      <c r="O59" s="145">
        <f t="shared" si="54"/>
        <v>0</v>
      </c>
      <c r="P59" s="145">
        <f t="shared" si="55"/>
        <v>27.351489590833907</v>
      </c>
      <c r="Q59" s="147">
        <f t="shared" si="56"/>
        <v>50.57123452086578</v>
      </c>
      <c r="R59" s="147"/>
      <c r="S59" s="128">
        <f t="shared" si="57"/>
        <v>0.006977150034388183</v>
      </c>
      <c r="T59" s="128">
        <f t="shared" si="58"/>
        <v>0.06837742270224544</v>
      </c>
      <c r="U59" s="145">
        <f t="shared" si="59"/>
        <v>0</v>
      </c>
      <c r="V59" s="145">
        <f t="shared" si="60"/>
        <v>0</v>
      </c>
      <c r="W59" s="128">
        <f t="shared" si="15"/>
        <v>0</v>
      </c>
    </row>
    <row r="60" spans="1:23" ht="12.75">
      <c r="A60" s="141">
        <f>+'SMAW-SMAW'!A60</f>
        <v>43</v>
      </c>
      <c r="B60" s="142">
        <v>1.25</v>
      </c>
      <c r="C60" s="143">
        <v>42.65</v>
      </c>
      <c r="D60" s="143">
        <v>9.701</v>
      </c>
      <c r="E60" s="144" t="s">
        <v>83</v>
      </c>
      <c r="F60" s="145">
        <f t="shared" si="46"/>
        <v>2</v>
      </c>
      <c r="G60" s="145">
        <f t="shared" si="47"/>
        <v>2</v>
      </c>
      <c r="H60" s="145">
        <f t="shared" si="48"/>
        <v>2</v>
      </c>
      <c r="I60" s="146">
        <f t="shared" si="49"/>
        <v>5.909185134425974</v>
      </c>
      <c r="J60" s="147"/>
      <c r="K60" s="145">
        <f t="shared" si="50"/>
        <v>0</v>
      </c>
      <c r="L60" s="145">
        <f t="shared" si="51"/>
        <v>6</v>
      </c>
      <c r="M60" s="145">
        <f t="shared" si="52"/>
        <v>15.402000000000001</v>
      </c>
      <c r="N60" s="145">
        <f t="shared" si="53"/>
        <v>45.50663472021443</v>
      </c>
      <c r="O60" s="145">
        <f t="shared" si="54"/>
        <v>0</v>
      </c>
      <c r="P60" s="145">
        <f t="shared" si="55"/>
        <v>37.6367405377039</v>
      </c>
      <c r="Q60" s="147">
        <f t="shared" si="56"/>
        <v>98.54537525791832</v>
      </c>
      <c r="R60" s="147"/>
      <c r="S60" s="128">
        <f t="shared" si="57"/>
        <v>0.00559980512921971</v>
      </c>
      <c r="T60" s="128">
        <f t="shared" si="58"/>
        <v>0.12758785489168373</v>
      </c>
      <c r="U60" s="145">
        <f t="shared" si="59"/>
        <v>0</v>
      </c>
      <c r="V60" s="145">
        <f t="shared" si="60"/>
        <v>0</v>
      </c>
      <c r="W60" s="128">
        <f t="shared" si="15"/>
        <v>0</v>
      </c>
    </row>
    <row r="61" spans="1:23" ht="12.75">
      <c r="A61" s="141">
        <f>+'SMAW-SMAW'!A61</f>
        <v>44</v>
      </c>
      <c r="B61" s="142"/>
      <c r="C61" s="143"/>
      <c r="D61" s="143"/>
      <c r="E61" s="144"/>
      <c r="F61" s="145"/>
      <c r="G61" s="145"/>
      <c r="H61" s="145"/>
      <c r="I61" s="146"/>
      <c r="J61" s="147"/>
      <c r="K61" s="145"/>
      <c r="L61" s="145"/>
      <c r="M61" s="145"/>
      <c r="N61" s="145"/>
      <c r="O61" s="145"/>
      <c r="P61" s="145"/>
      <c r="Q61" s="147"/>
      <c r="R61" s="147"/>
      <c r="S61" s="128"/>
      <c r="T61" s="128"/>
      <c r="U61" s="145"/>
      <c r="V61" s="145"/>
      <c r="W61" s="128">
        <f t="shared" si="15"/>
        <v>0</v>
      </c>
    </row>
    <row r="62" spans="1:23" ht="12.75">
      <c r="A62" s="141">
        <f>+'SMAW-SMAW'!A62</f>
        <v>45</v>
      </c>
      <c r="B62" s="142">
        <v>1.5</v>
      </c>
      <c r="C62" s="143">
        <v>48.3</v>
      </c>
      <c r="D62" s="143">
        <v>1.65</v>
      </c>
      <c r="E62" s="144" t="s">
        <v>81</v>
      </c>
      <c r="F62" s="145">
        <f aca="true" t="shared" si="61" ref="F62:F71">IF($D$6=1,2,3)</f>
        <v>2</v>
      </c>
      <c r="G62" s="145">
        <f aca="true" t="shared" si="62" ref="G62:G71">IF(D62&lt;2,D62,2)</f>
        <v>1.65</v>
      </c>
      <c r="H62" s="145">
        <f aca="true" t="shared" si="63" ref="H62:H71">IF(D62&lt;=19,2,3)</f>
        <v>2</v>
      </c>
      <c r="I62" s="146">
        <f aca="true" t="shared" si="64" ref="I62:I71">IF(D62&lt;=19,(D62-G62)*TAN($C$8*PI()/180),(19-G62)*TAN($C$8*PI()/180))</f>
        <v>0</v>
      </c>
      <c r="J62" s="147"/>
      <c r="K62" s="145">
        <f aca="true" t="shared" si="65" ref="K62:K71">IF(D62&lt;=19,0,(D62-19)*TAN($C$10*PI()/180))</f>
        <v>0</v>
      </c>
      <c r="L62" s="145">
        <f aca="true" t="shared" si="66" ref="L62:L71">+F62*(G62*1.5)</f>
        <v>4.949999999999999</v>
      </c>
      <c r="M62" s="145">
        <f aca="true" t="shared" si="67" ref="M62:M71">+F62*(D62-G62)</f>
        <v>0</v>
      </c>
      <c r="N62" s="145">
        <f aca="true" t="shared" si="68" ref="N62:N71">IF(D62&lt;=19,(D62-G62)*I62,(19-G62)*I62)</f>
        <v>0</v>
      </c>
      <c r="O62" s="145">
        <f aca="true" t="shared" si="69" ref="O62:O71">IF(D62&lt;=19,0,(I62*(D62-19)*2)+((K62)*(D62-19)))</f>
        <v>0</v>
      </c>
      <c r="P62" s="145">
        <f aca="true" t="shared" si="70" ref="P62:P71">+(5+F62+(2*(I62+K62)))*H62</f>
        <v>14</v>
      </c>
      <c r="Q62" s="147">
        <f aca="true" t="shared" si="71" ref="Q62:Q71">SUM(M62:P62)</f>
        <v>14</v>
      </c>
      <c r="R62" s="147"/>
      <c r="S62" s="128">
        <f aca="true" t="shared" si="72" ref="S62:S71">IF(D$6=1,(PI()*(C62-(2*D62)+(2*G62))*L62*0.1*0.01*7.85*0.001/(S$16*S$17)),0)</f>
        <v>0.008189160117681386</v>
      </c>
      <c r="T62" s="128">
        <f aca="true" t="shared" si="73" ref="T62:T71">IF(D$6=1,(PI()*(C62-(0.5*D62))*(Q62)*0.1*0.01*7.85*0.001/(T$16*T$17)),0)</f>
        <v>0.022765649339008855</v>
      </c>
      <c r="U62" s="145">
        <f aca="true" t="shared" si="74" ref="U62:U71">IF(D$6=1,0,(PI()*(C62-(2*D62)+(2*G62))*L62*0.1*0.01*7.85*0.001/(U$16*U$17)))</f>
        <v>0</v>
      </c>
      <c r="V62" s="145">
        <f aca="true" t="shared" si="75" ref="V62:V71">IF(D$6=1,0,(PI()*(C62-(0.5*D62))*(Q62)*0.1*0.01*7.85*0.001/(V$16*V$17)))</f>
        <v>0</v>
      </c>
      <c r="W62" s="128">
        <f t="shared" si="15"/>
        <v>0</v>
      </c>
    </row>
    <row r="63" spans="1:23" ht="12.75">
      <c r="A63" s="141">
        <f>+'SMAW-SMAW'!A63</f>
        <v>46</v>
      </c>
      <c r="B63" s="142">
        <v>1.5</v>
      </c>
      <c r="C63" s="143">
        <v>48.3</v>
      </c>
      <c r="D63" s="143">
        <v>2.77</v>
      </c>
      <c r="E63" s="144" t="s">
        <v>84</v>
      </c>
      <c r="F63" s="145">
        <f t="shared" si="61"/>
        <v>2</v>
      </c>
      <c r="G63" s="145">
        <f t="shared" si="62"/>
        <v>2</v>
      </c>
      <c r="H63" s="145">
        <f t="shared" si="63"/>
        <v>2</v>
      </c>
      <c r="I63" s="146">
        <f t="shared" si="64"/>
        <v>0.5908417807437994</v>
      </c>
      <c r="J63" s="147"/>
      <c r="K63" s="145">
        <f t="shared" si="65"/>
        <v>0</v>
      </c>
      <c r="L63" s="145">
        <f t="shared" si="66"/>
        <v>6</v>
      </c>
      <c r="M63" s="145">
        <f t="shared" si="67"/>
        <v>1.54</v>
      </c>
      <c r="N63" s="145">
        <f t="shared" si="68"/>
        <v>0.45494817117272557</v>
      </c>
      <c r="O63" s="145">
        <f t="shared" si="69"/>
        <v>0</v>
      </c>
      <c r="P63" s="145">
        <f t="shared" si="70"/>
        <v>16.3633671229752</v>
      </c>
      <c r="Q63" s="147">
        <f t="shared" si="71"/>
        <v>18.358315294147925</v>
      </c>
      <c r="R63" s="147"/>
      <c r="S63" s="128">
        <f t="shared" si="72"/>
        <v>0.009609765408188257</v>
      </c>
      <c r="T63" s="128">
        <f t="shared" si="73"/>
        <v>0.029500649521454314</v>
      </c>
      <c r="U63" s="145">
        <f t="shared" si="74"/>
        <v>0</v>
      </c>
      <c r="V63" s="145">
        <f t="shared" si="75"/>
        <v>0</v>
      </c>
      <c r="W63" s="128">
        <f t="shared" si="15"/>
        <v>0</v>
      </c>
    </row>
    <row r="64" spans="1:23" ht="12.75">
      <c r="A64" s="141">
        <f>+'SMAW-SMAW'!A64</f>
        <v>47</v>
      </c>
      <c r="B64" s="142">
        <v>1.5</v>
      </c>
      <c r="C64" s="143">
        <v>48.3</v>
      </c>
      <c r="D64" s="143">
        <v>3.68</v>
      </c>
      <c r="E64" s="144" t="s">
        <v>85</v>
      </c>
      <c r="F64" s="145">
        <f t="shared" si="61"/>
        <v>2</v>
      </c>
      <c r="G64" s="145">
        <f t="shared" si="62"/>
        <v>2</v>
      </c>
      <c r="H64" s="145">
        <f t="shared" si="63"/>
        <v>2</v>
      </c>
      <c r="I64" s="146">
        <f t="shared" si="64"/>
        <v>1.2891093398046536</v>
      </c>
      <c r="J64" s="147"/>
      <c r="K64" s="145">
        <f t="shared" si="65"/>
        <v>0</v>
      </c>
      <c r="L64" s="145">
        <f t="shared" si="66"/>
        <v>6</v>
      </c>
      <c r="M64" s="145">
        <f t="shared" si="67"/>
        <v>3.3600000000000003</v>
      </c>
      <c r="N64" s="145">
        <f t="shared" si="68"/>
        <v>2.165703690871818</v>
      </c>
      <c r="O64" s="145">
        <f t="shared" si="69"/>
        <v>0</v>
      </c>
      <c r="P64" s="145">
        <f t="shared" si="70"/>
        <v>19.156437359218614</v>
      </c>
      <c r="Q64" s="147">
        <f t="shared" si="71"/>
        <v>24.682141050090433</v>
      </c>
      <c r="R64" s="147"/>
      <c r="S64" s="128">
        <f t="shared" si="72"/>
        <v>0.009235732622839613</v>
      </c>
      <c r="T64" s="128">
        <f t="shared" si="73"/>
        <v>0.039277973094266665</v>
      </c>
      <c r="U64" s="145">
        <f t="shared" si="74"/>
        <v>0</v>
      </c>
      <c r="V64" s="145">
        <f t="shared" si="75"/>
        <v>0</v>
      </c>
      <c r="W64" s="128">
        <f t="shared" si="15"/>
        <v>0</v>
      </c>
    </row>
    <row r="65" spans="1:23" ht="12.75">
      <c r="A65" s="141">
        <f>+'SMAW-SMAW'!A65</f>
        <v>48</v>
      </c>
      <c r="B65" s="142">
        <v>1.5</v>
      </c>
      <c r="C65" s="143">
        <v>48.3</v>
      </c>
      <c r="D65" s="143">
        <v>3.68</v>
      </c>
      <c r="E65" s="144" t="s">
        <v>86</v>
      </c>
      <c r="F65" s="145">
        <f t="shared" si="61"/>
        <v>2</v>
      </c>
      <c r="G65" s="145">
        <f t="shared" si="62"/>
        <v>2</v>
      </c>
      <c r="H65" s="145">
        <f t="shared" si="63"/>
        <v>2</v>
      </c>
      <c r="I65" s="146">
        <f t="shared" si="64"/>
        <v>1.2891093398046536</v>
      </c>
      <c r="J65" s="147"/>
      <c r="K65" s="145">
        <f t="shared" si="65"/>
        <v>0</v>
      </c>
      <c r="L65" s="145">
        <f t="shared" si="66"/>
        <v>6</v>
      </c>
      <c r="M65" s="145">
        <f t="shared" si="67"/>
        <v>3.3600000000000003</v>
      </c>
      <c r="N65" s="145">
        <f t="shared" si="68"/>
        <v>2.165703690871818</v>
      </c>
      <c r="O65" s="145">
        <f t="shared" si="69"/>
        <v>0</v>
      </c>
      <c r="P65" s="145">
        <f t="shared" si="70"/>
        <v>19.156437359218614</v>
      </c>
      <c r="Q65" s="147">
        <f t="shared" si="71"/>
        <v>24.682141050090433</v>
      </c>
      <c r="R65" s="147"/>
      <c r="S65" s="128">
        <f t="shared" si="72"/>
        <v>0.009235732622839613</v>
      </c>
      <c r="T65" s="128">
        <f t="shared" si="73"/>
        <v>0.039277973094266665</v>
      </c>
      <c r="U65" s="145">
        <f t="shared" si="74"/>
        <v>0</v>
      </c>
      <c r="V65" s="145">
        <f t="shared" si="75"/>
        <v>0</v>
      </c>
      <c r="W65" s="128">
        <f t="shared" si="15"/>
        <v>0</v>
      </c>
    </row>
    <row r="66" spans="1:23" ht="12.75">
      <c r="A66" s="141">
        <f>+'SMAW-SMAW'!A66</f>
        <v>49</v>
      </c>
      <c r="B66" s="142">
        <v>1.5</v>
      </c>
      <c r="C66" s="143">
        <v>48.3</v>
      </c>
      <c r="D66" s="143">
        <v>3.68</v>
      </c>
      <c r="E66" s="144" t="s">
        <v>87</v>
      </c>
      <c r="F66" s="145">
        <f t="shared" si="61"/>
        <v>2</v>
      </c>
      <c r="G66" s="145">
        <f t="shared" si="62"/>
        <v>2</v>
      </c>
      <c r="H66" s="145">
        <f t="shared" si="63"/>
        <v>2</v>
      </c>
      <c r="I66" s="146">
        <f t="shared" si="64"/>
        <v>1.2891093398046536</v>
      </c>
      <c r="J66" s="147"/>
      <c r="K66" s="145">
        <f t="shared" si="65"/>
        <v>0</v>
      </c>
      <c r="L66" s="145">
        <f t="shared" si="66"/>
        <v>6</v>
      </c>
      <c r="M66" s="145">
        <f t="shared" si="67"/>
        <v>3.3600000000000003</v>
      </c>
      <c r="N66" s="145">
        <f t="shared" si="68"/>
        <v>2.165703690871818</v>
      </c>
      <c r="O66" s="145">
        <f t="shared" si="69"/>
        <v>0</v>
      </c>
      <c r="P66" s="145">
        <f t="shared" si="70"/>
        <v>19.156437359218614</v>
      </c>
      <c r="Q66" s="147">
        <f t="shared" si="71"/>
        <v>24.682141050090433</v>
      </c>
      <c r="R66" s="147"/>
      <c r="S66" s="128">
        <f t="shared" si="72"/>
        <v>0.009235732622839613</v>
      </c>
      <c r="T66" s="128">
        <f t="shared" si="73"/>
        <v>0.039277973094266665</v>
      </c>
      <c r="U66" s="145">
        <f t="shared" si="74"/>
        <v>0</v>
      </c>
      <c r="V66" s="145">
        <f t="shared" si="75"/>
        <v>0</v>
      </c>
      <c r="W66" s="128">
        <f t="shared" si="15"/>
        <v>0</v>
      </c>
    </row>
    <row r="67" spans="1:23" ht="12.75">
      <c r="A67" s="141">
        <f>+'SMAW-SMAW'!A67</f>
        <v>50</v>
      </c>
      <c r="B67" s="142">
        <v>1.5</v>
      </c>
      <c r="C67" s="143">
        <v>48.3</v>
      </c>
      <c r="D67" s="143">
        <v>5.08</v>
      </c>
      <c r="E67" s="144" t="s">
        <v>88</v>
      </c>
      <c r="F67" s="145">
        <f t="shared" si="61"/>
        <v>2</v>
      </c>
      <c r="G67" s="145">
        <f t="shared" si="62"/>
        <v>2</v>
      </c>
      <c r="H67" s="145">
        <f t="shared" si="63"/>
        <v>2</v>
      </c>
      <c r="I67" s="146">
        <f t="shared" si="64"/>
        <v>2.363367122975198</v>
      </c>
      <c r="J67" s="147"/>
      <c r="K67" s="145">
        <f t="shared" si="65"/>
        <v>0</v>
      </c>
      <c r="L67" s="145">
        <f t="shared" si="66"/>
        <v>6</v>
      </c>
      <c r="M67" s="145">
        <f t="shared" si="67"/>
        <v>6.16</v>
      </c>
      <c r="N67" s="145">
        <f t="shared" si="68"/>
        <v>7.279170738763609</v>
      </c>
      <c r="O67" s="145">
        <f t="shared" si="69"/>
        <v>0</v>
      </c>
      <c r="P67" s="145">
        <f t="shared" si="70"/>
        <v>23.453468491900793</v>
      </c>
      <c r="Q67" s="147">
        <f t="shared" si="71"/>
        <v>36.8926392306644</v>
      </c>
      <c r="R67" s="147"/>
      <c r="S67" s="128">
        <f t="shared" si="72"/>
        <v>0.008660297568457083</v>
      </c>
      <c r="T67" s="128">
        <f t="shared" si="73"/>
        <v>0.05782461817652912</v>
      </c>
      <c r="U67" s="145">
        <f t="shared" si="74"/>
        <v>0</v>
      </c>
      <c r="V67" s="145">
        <f t="shared" si="75"/>
        <v>0</v>
      </c>
      <c r="W67" s="128">
        <f t="shared" si="15"/>
        <v>0</v>
      </c>
    </row>
    <row r="68" spans="1:23" ht="12.75">
      <c r="A68" s="141">
        <f>+'SMAW-SMAW'!A68</f>
        <v>51</v>
      </c>
      <c r="B68" s="142">
        <v>1.5</v>
      </c>
      <c r="C68" s="143">
        <v>48.3</v>
      </c>
      <c r="D68" s="143">
        <v>5.08</v>
      </c>
      <c r="E68" s="144" t="s">
        <v>82</v>
      </c>
      <c r="F68" s="145">
        <f t="shared" si="61"/>
        <v>2</v>
      </c>
      <c r="G68" s="145">
        <f t="shared" si="62"/>
        <v>2</v>
      </c>
      <c r="H68" s="145">
        <f t="shared" si="63"/>
        <v>2</v>
      </c>
      <c r="I68" s="146">
        <f t="shared" si="64"/>
        <v>2.363367122975198</v>
      </c>
      <c r="J68" s="147"/>
      <c r="K68" s="145">
        <f t="shared" si="65"/>
        <v>0</v>
      </c>
      <c r="L68" s="145">
        <f t="shared" si="66"/>
        <v>6</v>
      </c>
      <c r="M68" s="145">
        <f t="shared" si="67"/>
        <v>6.16</v>
      </c>
      <c r="N68" s="145">
        <f t="shared" si="68"/>
        <v>7.279170738763609</v>
      </c>
      <c r="O68" s="145">
        <f t="shared" si="69"/>
        <v>0</v>
      </c>
      <c r="P68" s="145">
        <f t="shared" si="70"/>
        <v>23.453468491900793</v>
      </c>
      <c r="Q68" s="147">
        <f t="shared" si="71"/>
        <v>36.8926392306644</v>
      </c>
      <c r="R68" s="147"/>
      <c r="S68" s="128">
        <f t="shared" si="72"/>
        <v>0.008660297568457083</v>
      </c>
      <c r="T68" s="128">
        <f t="shared" si="73"/>
        <v>0.05782461817652912</v>
      </c>
      <c r="U68" s="145">
        <f t="shared" si="74"/>
        <v>0</v>
      </c>
      <c r="V68" s="145">
        <f t="shared" si="75"/>
        <v>0</v>
      </c>
      <c r="W68" s="128">
        <f t="shared" si="15"/>
        <v>0</v>
      </c>
    </row>
    <row r="69" spans="1:23" ht="12.75">
      <c r="A69" s="141">
        <f>+'SMAW-SMAW'!A69</f>
        <v>52</v>
      </c>
      <c r="B69" s="142">
        <v>1.5</v>
      </c>
      <c r="C69" s="143">
        <v>48.3</v>
      </c>
      <c r="D69" s="143">
        <v>5.08</v>
      </c>
      <c r="E69" s="144" t="s">
        <v>89</v>
      </c>
      <c r="F69" s="145">
        <f t="shared" si="61"/>
        <v>2</v>
      </c>
      <c r="G69" s="145">
        <f t="shared" si="62"/>
        <v>2</v>
      </c>
      <c r="H69" s="145">
        <f t="shared" si="63"/>
        <v>2</v>
      </c>
      <c r="I69" s="146">
        <f t="shared" si="64"/>
        <v>2.363367122975198</v>
      </c>
      <c r="J69" s="147"/>
      <c r="K69" s="145">
        <f t="shared" si="65"/>
        <v>0</v>
      </c>
      <c r="L69" s="145">
        <f t="shared" si="66"/>
        <v>6</v>
      </c>
      <c r="M69" s="145">
        <f t="shared" si="67"/>
        <v>6.16</v>
      </c>
      <c r="N69" s="145">
        <f t="shared" si="68"/>
        <v>7.279170738763609</v>
      </c>
      <c r="O69" s="145">
        <f t="shared" si="69"/>
        <v>0</v>
      </c>
      <c r="P69" s="145">
        <f t="shared" si="70"/>
        <v>23.453468491900793</v>
      </c>
      <c r="Q69" s="147">
        <f t="shared" si="71"/>
        <v>36.8926392306644</v>
      </c>
      <c r="R69" s="147"/>
      <c r="S69" s="128">
        <f t="shared" si="72"/>
        <v>0.008660297568457083</v>
      </c>
      <c r="T69" s="128">
        <f t="shared" si="73"/>
        <v>0.05782461817652912</v>
      </c>
      <c r="U69" s="145">
        <f t="shared" si="74"/>
        <v>0</v>
      </c>
      <c r="V69" s="145">
        <f t="shared" si="75"/>
        <v>0</v>
      </c>
      <c r="W69" s="128">
        <f t="shared" si="15"/>
        <v>0</v>
      </c>
    </row>
    <row r="70" spans="1:23" ht="12.75">
      <c r="A70" s="141">
        <f>+'SMAW-SMAW'!A70</f>
        <v>53</v>
      </c>
      <c r="B70" s="142">
        <v>1.5</v>
      </c>
      <c r="C70" s="143">
        <v>48.3</v>
      </c>
      <c r="D70" s="143">
        <v>7.14</v>
      </c>
      <c r="E70" s="144" t="s">
        <v>90</v>
      </c>
      <c r="F70" s="145">
        <f t="shared" si="61"/>
        <v>2</v>
      </c>
      <c r="G70" s="145">
        <f t="shared" si="62"/>
        <v>2</v>
      </c>
      <c r="H70" s="145">
        <f t="shared" si="63"/>
        <v>2</v>
      </c>
      <c r="I70" s="146">
        <f t="shared" si="64"/>
        <v>3.944060718211856</v>
      </c>
      <c r="J70" s="147"/>
      <c r="K70" s="145">
        <f t="shared" si="65"/>
        <v>0</v>
      </c>
      <c r="L70" s="145">
        <f t="shared" si="66"/>
        <v>6</v>
      </c>
      <c r="M70" s="145">
        <f t="shared" si="67"/>
        <v>10.28</v>
      </c>
      <c r="N70" s="145">
        <f t="shared" si="68"/>
        <v>20.27247209160894</v>
      </c>
      <c r="O70" s="145">
        <f t="shared" si="69"/>
        <v>0</v>
      </c>
      <c r="P70" s="145">
        <f t="shared" si="70"/>
        <v>29.776242872847426</v>
      </c>
      <c r="Q70" s="147">
        <f t="shared" si="71"/>
        <v>60.32871496445637</v>
      </c>
      <c r="R70" s="147"/>
      <c r="S70" s="128">
        <f t="shared" si="72"/>
        <v>0.007813585988437073</v>
      </c>
      <c r="T70" s="128">
        <f t="shared" si="73"/>
        <v>0.09242937276466535</v>
      </c>
      <c r="U70" s="145">
        <f t="shared" si="74"/>
        <v>0</v>
      </c>
      <c r="V70" s="145">
        <f t="shared" si="75"/>
        <v>0</v>
      </c>
      <c r="W70" s="128">
        <f t="shared" si="15"/>
        <v>0</v>
      </c>
    </row>
    <row r="71" spans="1:23" ht="12.75">
      <c r="A71" s="141">
        <f>+'SMAW-SMAW'!A71</f>
        <v>54</v>
      </c>
      <c r="B71" s="142">
        <v>1.5</v>
      </c>
      <c r="C71" s="143">
        <v>48.3</v>
      </c>
      <c r="D71" s="143">
        <v>10.161</v>
      </c>
      <c r="E71" s="144" t="s">
        <v>83</v>
      </c>
      <c r="F71" s="145">
        <f t="shared" si="61"/>
        <v>2</v>
      </c>
      <c r="G71" s="145">
        <f t="shared" si="62"/>
        <v>2</v>
      </c>
      <c r="H71" s="145">
        <f t="shared" si="63"/>
        <v>2</v>
      </c>
      <c r="I71" s="146">
        <f t="shared" si="64"/>
        <v>6.262155548896295</v>
      </c>
      <c r="J71" s="147"/>
      <c r="K71" s="145">
        <f t="shared" si="65"/>
        <v>0</v>
      </c>
      <c r="L71" s="145">
        <f t="shared" si="66"/>
        <v>6</v>
      </c>
      <c r="M71" s="145">
        <f t="shared" si="67"/>
        <v>16.322</v>
      </c>
      <c r="N71" s="145">
        <f t="shared" si="68"/>
        <v>51.105451434542665</v>
      </c>
      <c r="O71" s="145">
        <f t="shared" si="69"/>
        <v>0</v>
      </c>
      <c r="P71" s="145">
        <f t="shared" si="70"/>
        <v>39.04862219558518</v>
      </c>
      <c r="Q71" s="147">
        <f t="shared" si="71"/>
        <v>106.47607363012784</v>
      </c>
      <c r="R71" s="147"/>
      <c r="S71" s="128">
        <f t="shared" si="72"/>
        <v>0.00657187934608734</v>
      </c>
      <c r="T71" s="128">
        <f t="shared" si="73"/>
        <v>0.15762271331944963</v>
      </c>
      <c r="U71" s="145">
        <f t="shared" si="74"/>
        <v>0</v>
      </c>
      <c r="V71" s="145">
        <f t="shared" si="75"/>
        <v>0</v>
      </c>
      <c r="W71" s="128">
        <f t="shared" si="15"/>
        <v>0</v>
      </c>
    </row>
    <row r="72" spans="1:23" ht="12.75">
      <c r="A72" s="141">
        <f>+'SMAW-SMAW'!A72</f>
        <v>55</v>
      </c>
      <c r="B72" s="142"/>
      <c r="C72" s="143"/>
      <c r="D72" s="143"/>
      <c r="E72" s="144"/>
      <c r="F72" s="145"/>
      <c r="G72" s="145"/>
      <c r="H72" s="145"/>
      <c r="I72" s="146"/>
      <c r="J72" s="147"/>
      <c r="K72" s="145"/>
      <c r="L72" s="145"/>
      <c r="M72" s="145"/>
      <c r="N72" s="145"/>
      <c r="O72" s="145"/>
      <c r="P72" s="145"/>
      <c r="Q72" s="147"/>
      <c r="R72" s="147"/>
      <c r="S72" s="128"/>
      <c r="T72" s="128"/>
      <c r="U72" s="145"/>
      <c r="V72" s="145"/>
      <c r="W72" s="128">
        <f t="shared" si="15"/>
        <v>0</v>
      </c>
    </row>
    <row r="73" spans="1:26" ht="12.75">
      <c r="A73" s="141">
        <f>+'SMAW-SMAW'!A73</f>
        <v>56</v>
      </c>
      <c r="B73" s="142">
        <v>2</v>
      </c>
      <c r="C73" s="143">
        <v>60.3</v>
      </c>
      <c r="D73" s="143">
        <v>1.65</v>
      </c>
      <c r="E73" s="144" t="s">
        <v>81</v>
      </c>
      <c r="F73" s="145">
        <f aca="true" t="shared" si="76" ref="F73:F82">IF($D$6=1,2,3)</f>
        <v>2</v>
      </c>
      <c r="G73" s="145">
        <f aca="true" t="shared" si="77" ref="G73:G104">IF(D73&lt;2,D73,2)</f>
        <v>1.65</v>
      </c>
      <c r="H73" s="145">
        <f aca="true" t="shared" si="78" ref="H73:H82">IF(D73&lt;=19,2,3)</f>
        <v>2</v>
      </c>
      <c r="I73" s="146">
        <f aca="true" t="shared" si="79" ref="I73:I82">IF(D73&lt;=19,(D73-G73)*TAN($C$8*PI()/180),(19-G73)*TAN($C$8*PI()/180))</f>
        <v>0</v>
      </c>
      <c r="J73" s="147"/>
      <c r="K73" s="145">
        <f aca="true" t="shared" si="80" ref="K73:K82">IF(D73&lt;=19,0,(D73-19)*TAN($C$10*PI()/180))</f>
        <v>0</v>
      </c>
      <c r="L73" s="145">
        <f aca="true" t="shared" si="81" ref="L73:L82">+F73*(G73*1.5)</f>
        <v>4.949999999999999</v>
      </c>
      <c r="M73" s="145">
        <f aca="true" t="shared" si="82" ref="M73:M82">+F73*(D73-G73)</f>
        <v>0</v>
      </c>
      <c r="N73" s="145">
        <f aca="true" t="shared" si="83" ref="N73:N82">IF(D73&lt;=19,(D73-G73)*I73,(19-G73)*I73)</f>
        <v>0</v>
      </c>
      <c r="O73" s="145">
        <f aca="true" t="shared" si="84" ref="O73:O82">IF(D73&lt;=19,0,(I73*(D73-19)*2)+((K73)*(D73-19)))</f>
        <v>0</v>
      </c>
      <c r="P73" s="145">
        <f aca="true" t="shared" si="85" ref="P73:P82">+(5+F73+(2*(I73+K73)))*H73</f>
        <v>14</v>
      </c>
      <c r="Q73" s="147">
        <f aca="true" t="shared" si="86" ref="Q73:Q82">SUM(M73:P73)</f>
        <v>14</v>
      </c>
      <c r="R73" s="147"/>
      <c r="S73" s="128">
        <f aca="true" t="shared" si="87" ref="S73:S82">IF(D$6=1,(PI()*(C73-(2*D73)+(2*G73))*L73*0.1*0.01*7.85*0.001/(S$16*S$17)),0)</f>
        <v>0.010223734059962472</v>
      </c>
      <c r="T73" s="128">
        <f aca="true" t="shared" si="88" ref="T73:T82">IF(D$6=1,(PI()*(C73-(0.5*D73))*(Q73)*0.1*0.01*7.85*0.001/(T$16*T$17)),0)</f>
        <v>0.028519999882834164</v>
      </c>
      <c r="U73" s="145">
        <f aca="true" t="shared" si="89" ref="U73:U82">IF(D$6=1,0,(PI()*(C73-(2*D73)+(2*G73))*L73*0.1*0.01*7.85*0.001/(U$16*U$17)))</f>
        <v>0</v>
      </c>
      <c r="V73" s="145">
        <f aca="true" t="shared" si="90" ref="V73:V82">IF(D$6=1,0,(PI()*(C73-(0.5*D73))*(Q73)*0.1*0.01*7.85*0.001/(V$16*V$17)))</f>
        <v>0</v>
      </c>
      <c r="W73" s="128">
        <f t="shared" si="15"/>
        <v>0</v>
      </c>
      <c r="X73" t="str">
        <f>+CONCATENATE(B73,D73)</f>
        <v>21,65</v>
      </c>
      <c r="Y73" s="151">
        <f>+S73</f>
        <v>0.010223734059962472</v>
      </c>
      <c r="Z73" s="151">
        <f>+T73</f>
        <v>0.028519999882834164</v>
      </c>
    </row>
    <row r="74" spans="1:29" ht="12.75">
      <c r="A74" s="141">
        <f>+'SMAW-SMAW'!A74</f>
        <v>57</v>
      </c>
      <c r="B74" s="142">
        <v>2</v>
      </c>
      <c r="C74" s="143">
        <v>60.3</v>
      </c>
      <c r="D74" s="143">
        <v>2.77</v>
      </c>
      <c r="E74" s="144" t="s">
        <v>84</v>
      </c>
      <c r="F74" s="145">
        <f t="shared" si="76"/>
        <v>2</v>
      </c>
      <c r="G74" s="145">
        <f t="shared" si="77"/>
        <v>2</v>
      </c>
      <c r="H74" s="145">
        <f t="shared" si="78"/>
        <v>2</v>
      </c>
      <c r="I74" s="146">
        <f t="shared" si="79"/>
        <v>0.5908417807437994</v>
      </c>
      <c r="J74" s="147"/>
      <c r="K74" s="145">
        <f t="shared" si="80"/>
        <v>0</v>
      </c>
      <c r="L74" s="145">
        <f t="shared" si="81"/>
        <v>6</v>
      </c>
      <c r="M74" s="145">
        <f t="shared" si="82"/>
        <v>1.54</v>
      </c>
      <c r="N74" s="145">
        <f t="shared" si="83"/>
        <v>0.45494817117272557</v>
      </c>
      <c r="O74" s="145">
        <f t="shared" si="84"/>
        <v>0</v>
      </c>
      <c r="P74" s="145">
        <f t="shared" si="85"/>
        <v>16.3633671229752</v>
      </c>
      <c r="Q74" s="147">
        <f t="shared" si="86"/>
        <v>18.358315294147925</v>
      </c>
      <c r="R74" s="147"/>
      <c r="S74" s="128">
        <f t="shared" si="87"/>
        <v>0.012075915641256244</v>
      </c>
      <c r="T74" s="128">
        <f t="shared" si="88"/>
        <v>0.03704637677835406</v>
      </c>
      <c r="U74" s="145">
        <f t="shared" si="89"/>
        <v>0</v>
      </c>
      <c r="V74" s="145">
        <f t="shared" si="90"/>
        <v>0</v>
      </c>
      <c r="W74" s="128">
        <f t="shared" si="15"/>
        <v>0</v>
      </c>
      <c r="X74" t="str">
        <f aca="true" t="shared" si="91" ref="X74:X137">+CONCATENATE(B74,D74)</f>
        <v>22,77</v>
      </c>
      <c r="Y74" s="151">
        <f>+S74</f>
        <v>0.012075915641256244</v>
      </c>
      <c r="Z74" s="151">
        <f aca="true" t="shared" si="92" ref="Z74:Z137">+T74</f>
        <v>0.03704637677835406</v>
      </c>
      <c r="AB74" s="152">
        <f>+Y74+Z74</f>
        <v>0.0491222924196103</v>
      </c>
      <c r="AC74" s="152">
        <f>2*AB74</f>
        <v>0.0982445848392206</v>
      </c>
    </row>
    <row r="75" spans="1:26" ht="12.75">
      <c r="A75" s="141">
        <f>+'SMAW-SMAW'!A75</f>
        <v>58</v>
      </c>
      <c r="B75" s="142">
        <v>2</v>
      </c>
      <c r="C75" s="143">
        <v>60.3</v>
      </c>
      <c r="D75" s="143">
        <v>3.91</v>
      </c>
      <c r="E75" s="144" t="s">
        <v>85</v>
      </c>
      <c r="F75" s="145">
        <f t="shared" si="76"/>
        <v>2</v>
      </c>
      <c r="G75" s="145">
        <f t="shared" si="77"/>
        <v>2</v>
      </c>
      <c r="H75" s="145">
        <f t="shared" si="78"/>
        <v>2</v>
      </c>
      <c r="I75" s="146">
        <f t="shared" si="79"/>
        <v>1.4655945470398144</v>
      </c>
      <c r="J75" s="147"/>
      <c r="K75" s="145">
        <f t="shared" si="80"/>
        <v>0</v>
      </c>
      <c r="L75" s="145">
        <f t="shared" si="81"/>
        <v>6</v>
      </c>
      <c r="M75" s="145">
        <f t="shared" si="82"/>
        <v>3.8200000000000003</v>
      </c>
      <c r="N75" s="145">
        <f t="shared" si="83"/>
        <v>2.7992855848460456</v>
      </c>
      <c r="O75" s="145">
        <f t="shared" si="84"/>
        <v>0</v>
      </c>
      <c r="P75" s="145">
        <f t="shared" si="85"/>
        <v>19.86237818815926</v>
      </c>
      <c r="Q75" s="147">
        <f t="shared" si="86"/>
        <v>26.481663773005305</v>
      </c>
      <c r="R75" s="147"/>
      <c r="S75" s="128">
        <f t="shared" si="87"/>
        <v>0.011607347096973327</v>
      </c>
      <c r="T75" s="128">
        <f t="shared" si="88"/>
        <v>0.052921962947520364</v>
      </c>
      <c r="U75" s="145">
        <f t="shared" si="89"/>
        <v>0</v>
      </c>
      <c r="V75" s="145">
        <f t="shared" si="90"/>
        <v>0</v>
      </c>
      <c r="W75" s="128">
        <f t="shared" si="15"/>
        <v>0</v>
      </c>
      <c r="X75" t="str">
        <f t="shared" si="91"/>
        <v>23,91</v>
      </c>
      <c r="Y75" s="151">
        <f aca="true" t="shared" si="93" ref="Y75:Y137">+S75</f>
        <v>0.011607347096973327</v>
      </c>
      <c r="Z75" s="151">
        <f t="shared" si="92"/>
        <v>0.052921962947520364</v>
      </c>
    </row>
    <row r="76" spans="1:26" ht="12.75">
      <c r="A76" s="141">
        <f>+'SMAW-SMAW'!A76</f>
        <v>59</v>
      </c>
      <c r="B76" s="142">
        <v>2</v>
      </c>
      <c r="C76" s="143">
        <v>60.3</v>
      </c>
      <c r="D76" s="143">
        <v>3.91</v>
      </c>
      <c r="E76" s="144" t="s">
        <v>86</v>
      </c>
      <c r="F76" s="145">
        <f t="shared" si="76"/>
        <v>2</v>
      </c>
      <c r="G76" s="145">
        <f t="shared" si="77"/>
        <v>2</v>
      </c>
      <c r="H76" s="145">
        <f t="shared" si="78"/>
        <v>2</v>
      </c>
      <c r="I76" s="146">
        <f t="shared" si="79"/>
        <v>1.4655945470398144</v>
      </c>
      <c r="J76" s="147"/>
      <c r="K76" s="145">
        <f t="shared" si="80"/>
        <v>0</v>
      </c>
      <c r="L76" s="145">
        <f t="shared" si="81"/>
        <v>6</v>
      </c>
      <c r="M76" s="145">
        <f t="shared" si="82"/>
        <v>3.8200000000000003</v>
      </c>
      <c r="N76" s="145">
        <f t="shared" si="83"/>
        <v>2.7992855848460456</v>
      </c>
      <c r="O76" s="145">
        <f t="shared" si="84"/>
        <v>0</v>
      </c>
      <c r="P76" s="145">
        <f t="shared" si="85"/>
        <v>19.86237818815926</v>
      </c>
      <c r="Q76" s="147">
        <f t="shared" si="86"/>
        <v>26.481663773005305</v>
      </c>
      <c r="R76" s="147"/>
      <c r="S76" s="128">
        <f t="shared" si="87"/>
        <v>0.011607347096973327</v>
      </c>
      <c r="T76" s="128">
        <f t="shared" si="88"/>
        <v>0.052921962947520364</v>
      </c>
      <c r="U76" s="145">
        <f t="shared" si="89"/>
        <v>0</v>
      </c>
      <c r="V76" s="145">
        <f t="shared" si="90"/>
        <v>0</v>
      </c>
      <c r="W76" s="128">
        <f t="shared" si="15"/>
        <v>0</v>
      </c>
      <c r="X76" t="str">
        <f t="shared" si="91"/>
        <v>23,91</v>
      </c>
      <c r="Y76" s="151">
        <f t="shared" si="93"/>
        <v>0.011607347096973327</v>
      </c>
      <c r="Z76" s="151">
        <f t="shared" si="92"/>
        <v>0.052921962947520364</v>
      </c>
    </row>
    <row r="77" spans="1:26" ht="12.75">
      <c r="A77" s="141">
        <f>+'SMAW-SMAW'!A77</f>
        <v>60</v>
      </c>
      <c r="B77" s="142">
        <v>2</v>
      </c>
      <c r="C77" s="143">
        <v>60.3</v>
      </c>
      <c r="D77" s="143">
        <v>3.91</v>
      </c>
      <c r="E77" s="144" t="s">
        <v>87</v>
      </c>
      <c r="F77" s="145">
        <f t="shared" si="76"/>
        <v>2</v>
      </c>
      <c r="G77" s="145">
        <f t="shared" si="77"/>
        <v>2</v>
      </c>
      <c r="H77" s="145">
        <f t="shared" si="78"/>
        <v>2</v>
      </c>
      <c r="I77" s="146">
        <f t="shared" si="79"/>
        <v>1.4655945470398144</v>
      </c>
      <c r="J77" s="147"/>
      <c r="K77" s="145">
        <f t="shared" si="80"/>
        <v>0</v>
      </c>
      <c r="L77" s="145">
        <f t="shared" si="81"/>
        <v>6</v>
      </c>
      <c r="M77" s="145">
        <f t="shared" si="82"/>
        <v>3.8200000000000003</v>
      </c>
      <c r="N77" s="145">
        <f t="shared" si="83"/>
        <v>2.7992855848460456</v>
      </c>
      <c r="O77" s="145">
        <f t="shared" si="84"/>
        <v>0</v>
      </c>
      <c r="P77" s="145">
        <f t="shared" si="85"/>
        <v>19.86237818815926</v>
      </c>
      <c r="Q77" s="147">
        <f t="shared" si="86"/>
        <v>26.481663773005305</v>
      </c>
      <c r="R77" s="147"/>
      <c r="S77" s="128">
        <f t="shared" si="87"/>
        <v>0.011607347096973327</v>
      </c>
      <c r="T77" s="128">
        <f t="shared" si="88"/>
        <v>0.052921962947520364</v>
      </c>
      <c r="U77" s="145">
        <f t="shared" si="89"/>
        <v>0</v>
      </c>
      <c r="V77" s="145">
        <f t="shared" si="90"/>
        <v>0</v>
      </c>
      <c r="W77" s="128">
        <f t="shared" si="15"/>
        <v>0</v>
      </c>
      <c r="X77" t="str">
        <f t="shared" si="91"/>
        <v>23,91</v>
      </c>
      <c r="Y77" s="151">
        <f t="shared" si="93"/>
        <v>0.011607347096973327</v>
      </c>
      <c r="Z77" s="151">
        <f t="shared" si="92"/>
        <v>0.052921962947520364</v>
      </c>
    </row>
    <row r="78" spans="1:26" ht="12.75">
      <c r="A78" s="141">
        <f>+'SMAW-SMAW'!A78</f>
        <v>61</v>
      </c>
      <c r="B78" s="142">
        <v>2</v>
      </c>
      <c r="C78" s="143">
        <v>60.3</v>
      </c>
      <c r="D78" s="143">
        <v>5.54</v>
      </c>
      <c r="E78" s="144" t="s">
        <v>88</v>
      </c>
      <c r="F78" s="145">
        <f t="shared" si="76"/>
        <v>2</v>
      </c>
      <c r="G78" s="145">
        <f t="shared" si="77"/>
        <v>2</v>
      </c>
      <c r="H78" s="145">
        <f t="shared" si="78"/>
        <v>2</v>
      </c>
      <c r="I78" s="146">
        <f t="shared" si="79"/>
        <v>2.71633753744552</v>
      </c>
      <c r="J78" s="147"/>
      <c r="K78" s="145">
        <f t="shared" si="80"/>
        <v>0</v>
      </c>
      <c r="L78" s="145">
        <f t="shared" si="81"/>
        <v>6</v>
      </c>
      <c r="M78" s="145">
        <f t="shared" si="82"/>
        <v>7.08</v>
      </c>
      <c r="N78" s="145">
        <f t="shared" si="83"/>
        <v>9.61583488255714</v>
      </c>
      <c r="O78" s="145">
        <f t="shared" si="84"/>
        <v>0</v>
      </c>
      <c r="P78" s="145">
        <f t="shared" si="85"/>
        <v>24.86535014978208</v>
      </c>
      <c r="Q78" s="147">
        <f t="shared" si="86"/>
        <v>41.561185032339225</v>
      </c>
      <c r="R78" s="147"/>
      <c r="S78" s="128">
        <f t="shared" si="87"/>
        <v>0.010937376283656524</v>
      </c>
      <c r="T78" s="128">
        <f t="shared" si="88"/>
        <v>0.0818972519117294</v>
      </c>
      <c r="U78" s="145">
        <f t="shared" si="89"/>
        <v>0</v>
      </c>
      <c r="V78" s="145">
        <f t="shared" si="90"/>
        <v>0</v>
      </c>
      <c r="W78" s="128">
        <f t="shared" si="15"/>
        <v>0</v>
      </c>
      <c r="X78" t="str">
        <f t="shared" si="91"/>
        <v>25,54</v>
      </c>
      <c r="Y78" s="151">
        <f t="shared" si="93"/>
        <v>0.010937376283656524</v>
      </c>
      <c r="Z78" s="151">
        <f t="shared" si="92"/>
        <v>0.0818972519117294</v>
      </c>
    </row>
    <row r="79" spans="1:26" ht="12.75">
      <c r="A79" s="141">
        <f>+'SMAW-SMAW'!A79</f>
        <v>62</v>
      </c>
      <c r="B79" s="142">
        <v>2</v>
      </c>
      <c r="C79" s="143">
        <v>60.3</v>
      </c>
      <c r="D79" s="143">
        <v>5.54</v>
      </c>
      <c r="E79" s="144" t="s">
        <v>82</v>
      </c>
      <c r="F79" s="145">
        <f t="shared" si="76"/>
        <v>2</v>
      </c>
      <c r="G79" s="145">
        <f t="shared" si="77"/>
        <v>2</v>
      </c>
      <c r="H79" s="145">
        <f t="shared" si="78"/>
        <v>2</v>
      </c>
      <c r="I79" s="146">
        <f t="shared" si="79"/>
        <v>2.71633753744552</v>
      </c>
      <c r="J79" s="147"/>
      <c r="K79" s="145">
        <f t="shared" si="80"/>
        <v>0</v>
      </c>
      <c r="L79" s="145">
        <f t="shared" si="81"/>
        <v>6</v>
      </c>
      <c r="M79" s="145">
        <f t="shared" si="82"/>
        <v>7.08</v>
      </c>
      <c r="N79" s="145">
        <f t="shared" si="83"/>
        <v>9.61583488255714</v>
      </c>
      <c r="O79" s="145">
        <f t="shared" si="84"/>
        <v>0</v>
      </c>
      <c r="P79" s="145">
        <f t="shared" si="85"/>
        <v>24.86535014978208</v>
      </c>
      <c r="Q79" s="147">
        <f t="shared" si="86"/>
        <v>41.561185032339225</v>
      </c>
      <c r="R79" s="147"/>
      <c r="S79" s="128">
        <f t="shared" si="87"/>
        <v>0.010937376283656524</v>
      </c>
      <c r="T79" s="128">
        <f t="shared" si="88"/>
        <v>0.0818972519117294</v>
      </c>
      <c r="U79" s="145">
        <f t="shared" si="89"/>
        <v>0</v>
      </c>
      <c r="V79" s="145">
        <f t="shared" si="90"/>
        <v>0</v>
      </c>
      <c r="W79" s="128">
        <f t="shared" si="15"/>
        <v>0</v>
      </c>
      <c r="X79" t="str">
        <f t="shared" si="91"/>
        <v>25,54</v>
      </c>
      <c r="Y79" s="151">
        <f t="shared" si="93"/>
        <v>0.010937376283656524</v>
      </c>
      <c r="Z79" s="151">
        <f t="shared" si="92"/>
        <v>0.0818972519117294</v>
      </c>
    </row>
    <row r="80" spans="1:26" ht="12.75">
      <c r="A80" s="141">
        <f>+'SMAW-SMAW'!A80</f>
        <v>63</v>
      </c>
      <c r="B80" s="142">
        <v>2</v>
      </c>
      <c r="C80" s="143">
        <v>60.3</v>
      </c>
      <c r="D80" s="143">
        <v>5.54</v>
      </c>
      <c r="E80" s="144" t="s">
        <v>89</v>
      </c>
      <c r="F80" s="145">
        <f t="shared" si="76"/>
        <v>2</v>
      </c>
      <c r="G80" s="145">
        <f t="shared" si="77"/>
        <v>2</v>
      </c>
      <c r="H80" s="145">
        <f t="shared" si="78"/>
        <v>2</v>
      </c>
      <c r="I80" s="146">
        <f t="shared" si="79"/>
        <v>2.71633753744552</v>
      </c>
      <c r="J80" s="147"/>
      <c r="K80" s="145">
        <f t="shared" si="80"/>
        <v>0</v>
      </c>
      <c r="L80" s="145">
        <f t="shared" si="81"/>
        <v>6</v>
      </c>
      <c r="M80" s="145">
        <f t="shared" si="82"/>
        <v>7.08</v>
      </c>
      <c r="N80" s="145">
        <f t="shared" si="83"/>
        <v>9.61583488255714</v>
      </c>
      <c r="O80" s="145">
        <f t="shared" si="84"/>
        <v>0</v>
      </c>
      <c r="P80" s="145">
        <f t="shared" si="85"/>
        <v>24.86535014978208</v>
      </c>
      <c r="Q80" s="147">
        <f t="shared" si="86"/>
        <v>41.561185032339225</v>
      </c>
      <c r="R80" s="147"/>
      <c r="S80" s="128">
        <f t="shared" si="87"/>
        <v>0.010937376283656524</v>
      </c>
      <c r="T80" s="128">
        <f t="shared" si="88"/>
        <v>0.0818972519117294</v>
      </c>
      <c r="U80" s="145">
        <f t="shared" si="89"/>
        <v>0</v>
      </c>
      <c r="V80" s="145">
        <f t="shared" si="90"/>
        <v>0</v>
      </c>
      <c r="W80" s="128">
        <f t="shared" si="15"/>
        <v>0</v>
      </c>
      <c r="X80" t="str">
        <f t="shared" si="91"/>
        <v>25,54</v>
      </c>
      <c r="Y80" s="151">
        <f t="shared" si="93"/>
        <v>0.010937376283656524</v>
      </c>
      <c r="Z80" s="151">
        <f t="shared" si="92"/>
        <v>0.0818972519117294</v>
      </c>
    </row>
    <row r="81" spans="1:26" ht="12.75">
      <c r="A81" s="141">
        <f>+'SMAW-SMAW'!A81</f>
        <v>64</v>
      </c>
      <c r="B81" s="142">
        <v>2</v>
      </c>
      <c r="C81" s="143">
        <v>60.3</v>
      </c>
      <c r="D81" s="143">
        <v>8.74</v>
      </c>
      <c r="E81" s="144" t="s">
        <v>90</v>
      </c>
      <c r="F81" s="145">
        <f t="shared" si="76"/>
        <v>2</v>
      </c>
      <c r="G81" s="145">
        <f t="shared" si="77"/>
        <v>2</v>
      </c>
      <c r="H81" s="145">
        <f t="shared" si="78"/>
        <v>2</v>
      </c>
      <c r="I81" s="146">
        <f t="shared" si="79"/>
        <v>5.171783898978193</v>
      </c>
      <c r="J81" s="147"/>
      <c r="K81" s="145">
        <f t="shared" si="80"/>
        <v>0</v>
      </c>
      <c r="L81" s="145">
        <f t="shared" si="81"/>
        <v>6</v>
      </c>
      <c r="M81" s="145">
        <f t="shared" si="82"/>
        <v>13.48</v>
      </c>
      <c r="N81" s="145">
        <f t="shared" si="83"/>
        <v>34.85782347911302</v>
      </c>
      <c r="O81" s="145">
        <f t="shared" si="84"/>
        <v>0</v>
      </c>
      <c r="P81" s="145">
        <f t="shared" si="85"/>
        <v>34.68713559591277</v>
      </c>
      <c r="Q81" s="147">
        <f t="shared" si="86"/>
        <v>83.0249590750258</v>
      </c>
      <c r="R81" s="147"/>
      <c r="S81" s="128">
        <f t="shared" si="87"/>
        <v>0.009622096159353596</v>
      </c>
      <c r="T81" s="128">
        <f t="shared" si="88"/>
        <v>0.15905250833548093</v>
      </c>
      <c r="U81" s="145">
        <f t="shared" si="89"/>
        <v>0</v>
      </c>
      <c r="V81" s="145">
        <f t="shared" si="90"/>
        <v>0</v>
      </c>
      <c r="W81" s="128">
        <f t="shared" si="15"/>
        <v>0</v>
      </c>
      <c r="X81" t="str">
        <f t="shared" si="91"/>
        <v>28,74</v>
      </c>
      <c r="Y81" s="151">
        <f t="shared" si="93"/>
        <v>0.009622096159353596</v>
      </c>
      <c r="Z81" s="151">
        <f t="shared" si="92"/>
        <v>0.15905250833548093</v>
      </c>
    </row>
    <row r="82" spans="1:26" ht="12.75">
      <c r="A82" s="141">
        <f>+'SMAW-SMAW'!A82</f>
        <v>65</v>
      </c>
      <c r="B82" s="142">
        <v>2</v>
      </c>
      <c r="C82" s="143">
        <v>60.3</v>
      </c>
      <c r="D82" s="143">
        <v>11.071</v>
      </c>
      <c r="E82" s="144" t="s">
        <v>83</v>
      </c>
      <c r="F82" s="145">
        <f t="shared" si="76"/>
        <v>2</v>
      </c>
      <c r="G82" s="145">
        <f t="shared" si="77"/>
        <v>2</v>
      </c>
      <c r="H82" s="145">
        <f t="shared" si="78"/>
        <v>2</v>
      </c>
      <c r="I82" s="146">
        <f t="shared" si="79"/>
        <v>6.9604231079571495</v>
      </c>
      <c r="J82" s="147"/>
      <c r="K82" s="145">
        <f t="shared" si="80"/>
        <v>0</v>
      </c>
      <c r="L82" s="145">
        <f t="shared" si="81"/>
        <v>6</v>
      </c>
      <c r="M82" s="145">
        <f t="shared" si="82"/>
        <v>18.142</v>
      </c>
      <c r="N82" s="145">
        <f t="shared" si="83"/>
        <v>63.137998012279304</v>
      </c>
      <c r="O82" s="145">
        <f t="shared" si="84"/>
        <v>0</v>
      </c>
      <c r="P82" s="145">
        <f t="shared" si="85"/>
        <v>41.8416924318286</v>
      </c>
      <c r="Q82" s="147">
        <f t="shared" si="86"/>
        <v>123.12169044410791</v>
      </c>
      <c r="R82" s="147"/>
      <c r="S82" s="128">
        <f t="shared" si="87"/>
        <v>0.008663996793806686</v>
      </c>
      <c r="T82" s="128">
        <f t="shared" si="88"/>
        <v>0.230951469322781</v>
      </c>
      <c r="U82" s="145">
        <f t="shared" si="89"/>
        <v>0</v>
      </c>
      <c r="V82" s="145">
        <f t="shared" si="90"/>
        <v>0</v>
      </c>
      <c r="W82" s="128">
        <f aca="true" t="shared" si="94" ref="W82:W145">SUM(U82:V82)</f>
        <v>0</v>
      </c>
      <c r="X82" t="str">
        <f t="shared" si="91"/>
        <v>211,071</v>
      </c>
      <c r="Y82" s="151">
        <f t="shared" si="93"/>
        <v>0.008663996793806686</v>
      </c>
      <c r="Z82" s="151">
        <f t="shared" si="92"/>
        <v>0.230951469322781</v>
      </c>
    </row>
    <row r="83" spans="1:26" ht="12.75">
      <c r="A83" s="141">
        <f>+'SMAW-SMAW'!A83</f>
        <v>66</v>
      </c>
      <c r="B83" s="142"/>
      <c r="C83" s="143"/>
      <c r="D83" s="143"/>
      <c r="E83" s="144"/>
      <c r="F83" s="145"/>
      <c r="G83" s="145">
        <f t="shared" si="77"/>
        <v>0</v>
      </c>
      <c r="H83" s="145"/>
      <c r="I83" s="146"/>
      <c r="J83" s="147"/>
      <c r="K83" s="145"/>
      <c r="L83" s="145"/>
      <c r="M83" s="145"/>
      <c r="N83" s="145"/>
      <c r="O83" s="145"/>
      <c r="P83" s="145"/>
      <c r="Q83" s="147"/>
      <c r="R83" s="147"/>
      <c r="S83" s="128"/>
      <c r="T83" s="128"/>
      <c r="U83" s="145"/>
      <c r="V83" s="145"/>
      <c r="W83" s="128">
        <f t="shared" si="94"/>
        <v>0</v>
      </c>
      <c r="X83">
        <f t="shared" si="91"/>
      </c>
      <c r="Y83" s="151">
        <f t="shared" si="93"/>
        <v>0</v>
      </c>
      <c r="Z83" s="151">
        <f t="shared" si="92"/>
        <v>0</v>
      </c>
    </row>
    <row r="84" spans="1:26" ht="12.75">
      <c r="A84" s="141">
        <f>+'SMAW-SMAW'!A84</f>
        <v>67</v>
      </c>
      <c r="B84" s="142">
        <v>2.5</v>
      </c>
      <c r="C84" s="143">
        <v>73</v>
      </c>
      <c r="D84" s="143">
        <v>2.11</v>
      </c>
      <c r="E84" s="144" t="s">
        <v>81</v>
      </c>
      <c r="F84" s="145">
        <f aca="true" t="shared" si="95" ref="F84:F93">IF($D$6=1,2,3)</f>
        <v>2</v>
      </c>
      <c r="G84" s="145">
        <f t="shared" si="77"/>
        <v>2</v>
      </c>
      <c r="H84" s="145">
        <f aca="true" t="shared" si="96" ref="H84:H93">IF(D84&lt;=19,2,3)</f>
        <v>2</v>
      </c>
      <c r="I84" s="146">
        <f aca="true" t="shared" si="97" ref="I84:I93">IF(D84&lt;=19,(D84-G84)*TAN($C$8*PI()/180),(19-G84)*TAN($C$8*PI()/180))</f>
        <v>0.08440596867768554</v>
      </c>
      <c r="J84" s="147"/>
      <c r="K84" s="145">
        <f aca="true" t="shared" si="98" ref="K84:K93">IF(D84&lt;=19,0,(D84-19)*TAN($C$10*PI()/180))</f>
        <v>0</v>
      </c>
      <c r="L84" s="145">
        <f aca="true" t="shared" si="99" ref="L84:L93">+F84*(G84*1.5)</f>
        <v>6</v>
      </c>
      <c r="M84" s="145">
        <f aca="true" t="shared" si="100" ref="M84:M93">+F84*(D84-G84)</f>
        <v>0.21999999999999975</v>
      </c>
      <c r="N84" s="145">
        <f aca="true" t="shared" si="101" ref="N84:N93">IF(D84&lt;=19,(D84-G84)*I84,(19-G84)*I84)</f>
        <v>0.0092846565545454</v>
      </c>
      <c r="O84" s="145">
        <f aca="true" t="shared" si="102" ref="O84:O93">IF(D84&lt;=19,0,(I84*(D84-19)*2)+((K84)*(D84-19)))</f>
        <v>0</v>
      </c>
      <c r="P84" s="145">
        <f aca="true" t="shared" si="103" ref="P84:P93">+(5+F84+(2*(I84+K84)))*H84</f>
        <v>14.337623874710742</v>
      </c>
      <c r="Q84" s="147">
        <f aca="true" t="shared" si="104" ref="Q84:Q93">SUM(M84:P84)</f>
        <v>14.566908531265288</v>
      </c>
      <c r="R84" s="147"/>
      <c r="S84" s="128">
        <f aca="true" t="shared" si="105" ref="S84:S93">IF(D$6=1,(PI()*(C84-(2*D84)+(2*G84))*L84*0.1*0.01*7.85*0.001/(S$16*S$17)),0)</f>
        <v>0.014957201163557346</v>
      </c>
      <c r="T84" s="128">
        <f aca="true" t="shared" si="106" ref="T84:T93">IF(D$6=1,(PI()*(C84-(0.5*D84))*(Q84)*0.1*0.01*7.85*0.001/(T$16*T$17)),0)</f>
        <v>0.03589674278379577</v>
      </c>
      <c r="U84" s="145">
        <f aca="true" t="shared" si="107" ref="U84:U93">IF(D$6=1,0,(PI()*(C84-(2*D84)+(2*G84))*L84*0.1*0.01*7.85*0.001/(U$16*U$17)))</f>
        <v>0</v>
      </c>
      <c r="V84" s="145">
        <f aca="true" t="shared" si="108" ref="V84:V93">IF(D$6=1,0,(PI()*(C84-(0.5*D84))*(Q84)*0.1*0.01*7.85*0.001/(V$16*V$17)))</f>
        <v>0</v>
      </c>
      <c r="W84" s="128">
        <f t="shared" si="94"/>
        <v>0</v>
      </c>
      <c r="X84" t="str">
        <f t="shared" si="91"/>
        <v>2,52,11</v>
      </c>
      <c r="Y84" s="151">
        <f t="shared" si="93"/>
        <v>0.014957201163557346</v>
      </c>
      <c r="Z84" s="151">
        <f t="shared" si="92"/>
        <v>0.03589674278379577</v>
      </c>
    </row>
    <row r="85" spans="1:26" ht="12.75">
      <c r="A85" s="141">
        <f>+'SMAW-SMAW'!A85</f>
        <v>68</v>
      </c>
      <c r="B85" s="142">
        <v>2.5</v>
      </c>
      <c r="C85" s="143">
        <v>73</v>
      </c>
      <c r="D85" s="143">
        <v>3.05</v>
      </c>
      <c r="E85" s="144" t="s">
        <v>84</v>
      </c>
      <c r="F85" s="145">
        <f t="shared" si="95"/>
        <v>2</v>
      </c>
      <c r="G85" s="145">
        <f t="shared" si="77"/>
        <v>2</v>
      </c>
      <c r="H85" s="145">
        <f t="shared" si="96"/>
        <v>2</v>
      </c>
      <c r="I85" s="146">
        <f t="shared" si="97"/>
        <v>0.8056933373779083</v>
      </c>
      <c r="J85" s="147"/>
      <c r="K85" s="145">
        <f t="shared" si="98"/>
        <v>0</v>
      </c>
      <c r="L85" s="145">
        <f t="shared" si="99"/>
        <v>6</v>
      </c>
      <c r="M85" s="145">
        <f t="shared" si="100"/>
        <v>2.0999999999999996</v>
      </c>
      <c r="N85" s="145">
        <f t="shared" si="101"/>
        <v>0.8459780042468036</v>
      </c>
      <c r="O85" s="145">
        <f t="shared" si="102"/>
        <v>0</v>
      </c>
      <c r="P85" s="145">
        <f t="shared" si="103"/>
        <v>17.222773349511634</v>
      </c>
      <c r="Q85" s="147">
        <f t="shared" si="104"/>
        <v>20.168751353758438</v>
      </c>
      <c r="R85" s="147"/>
      <c r="S85" s="128">
        <f t="shared" si="105"/>
        <v>0.01457083762704336</v>
      </c>
      <c r="T85" s="128">
        <f t="shared" si="106"/>
        <v>0.04937648939763423</v>
      </c>
      <c r="U85" s="145">
        <f t="shared" si="107"/>
        <v>0</v>
      </c>
      <c r="V85" s="145">
        <f t="shared" si="108"/>
        <v>0</v>
      </c>
      <c r="W85" s="128">
        <f t="shared" si="94"/>
        <v>0</v>
      </c>
      <c r="X85" t="str">
        <f t="shared" si="91"/>
        <v>2,53,05</v>
      </c>
      <c r="Y85" s="151">
        <f t="shared" si="93"/>
        <v>0.01457083762704336</v>
      </c>
      <c r="Z85" s="151">
        <f t="shared" si="92"/>
        <v>0.04937648939763423</v>
      </c>
    </row>
    <row r="86" spans="1:26" ht="12.75">
      <c r="A86" s="141">
        <f>+'SMAW-SMAW'!A86</f>
        <v>69</v>
      </c>
      <c r="B86" s="142">
        <v>2.5</v>
      </c>
      <c r="C86" s="143">
        <v>73</v>
      </c>
      <c r="D86" s="143">
        <v>5.16</v>
      </c>
      <c r="E86" s="144" t="s">
        <v>85</v>
      </c>
      <c r="F86" s="145">
        <f t="shared" si="95"/>
        <v>2</v>
      </c>
      <c r="G86" s="145">
        <f t="shared" si="77"/>
        <v>2</v>
      </c>
      <c r="H86" s="145">
        <f t="shared" si="96"/>
        <v>2</v>
      </c>
      <c r="I86" s="146">
        <f t="shared" si="97"/>
        <v>2.4247532820135147</v>
      </c>
      <c r="J86" s="147"/>
      <c r="K86" s="145">
        <f t="shared" si="98"/>
        <v>0</v>
      </c>
      <c r="L86" s="145">
        <f t="shared" si="99"/>
        <v>6</v>
      </c>
      <c r="M86" s="145">
        <f t="shared" si="100"/>
        <v>6.32</v>
      </c>
      <c r="N86" s="145">
        <f t="shared" si="101"/>
        <v>7.662220371162706</v>
      </c>
      <c r="O86" s="145">
        <f t="shared" si="102"/>
        <v>0</v>
      </c>
      <c r="P86" s="145">
        <f t="shared" si="103"/>
        <v>23.69901312805406</v>
      </c>
      <c r="Q86" s="147">
        <f t="shared" si="104"/>
        <v>37.681233499216766</v>
      </c>
      <c r="R86" s="147"/>
      <c r="S86" s="128">
        <f t="shared" si="105"/>
        <v>0.01370357479508112</v>
      </c>
      <c r="T86" s="128">
        <f t="shared" si="106"/>
        <v>0.09088833859878985</v>
      </c>
      <c r="U86" s="145">
        <f t="shared" si="107"/>
        <v>0</v>
      </c>
      <c r="V86" s="145">
        <f t="shared" si="108"/>
        <v>0</v>
      </c>
      <c r="W86" s="128">
        <f t="shared" si="94"/>
        <v>0</v>
      </c>
      <c r="X86" t="str">
        <f t="shared" si="91"/>
        <v>2,55,16</v>
      </c>
      <c r="Y86" s="151">
        <f t="shared" si="93"/>
        <v>0.01370357479508112</v>
      </c>
      <c r="Z86" s="151">
        <f t="shared" si="92"/>
        <v>0.09088833859878985</v>
      </c>
    </row>
    <row r="87" spans="1:26" ht="12.75">
      <c r="A87" s="141">
        <f>+'SMAW-SMAW'!A87</f>
        <v>70</v>
      </c>
      <c r="B87" s="142">
        <v>2.5</v>
      </c>
      <c r="C87" s="143">
        <v>73</v>
      </c>
      <c r="D87" s="143">
        <v>5.16</v>
      </c>
      <c r="E87" s="144" t="s">
        <v>86</v>
      </c>
      <c r="F87" s="145">
        <f t="shared" si="95"/>
        <v>2</v>
      </c>
      <c r="G87" s="145">
        <f t="shared" si="77"/>
        <v>2</v>
      </c>
      <c r="H87" s="145">
        <f t="shared" si="96"/>
        <v>2</v>
      </c>
      <c r="I87" s="146">
        <f t="shared" si="97"/>
        <v>2.4247532820135147</v>
      </c>
      <c r="J87" s="147"/>
      <c r="K87" s="145">
        <f t="shared" si="98"/>
        <v>0</v>
      </c>
      <c r="L87" s="145">
        <f t="shared" si="99"/>
        <v>6</v>
      </c>
      <c r="M87" s="145">
        <f t="shared" si="100"/>
        <v>6.32</v>
      </c>
      <c r="N87" s="145">
        <f t="shared" si="101"/>
        <v>7.662220371162706</v>
      </c>
      <c r="O87" s="145">
        <f t="shared" si="102"/>
        <v>0</v>
      </c>
      <c r="P87" s="145">
        <f t="shared" si="103"/>
        <v>23.69901312805406</v>
      </c>
      <c r="Q87" s="147">
        <f t="shared" si="104"/>
        <v>37.681233499216766</v>
      </c>
      <c r="R87" s="147"/>
      <c r="S87" s="128">
        <f t="shared" si="105"/>
        <v>0.01370357479508112</v>
      </c>
      <c r="T87" s="128">
        <f t="shared" si="106"/>
        <v>0.09088833859878985</v>
      </c>
      <c r="U87" s="145">
        <f t="shared" si="107"/>
        <v>0</v>
      </c>
      <c r="V87" s="145">
        <f t="shared" si="108"/>
        <v>0</v>
      </c>
      <c r="W87" s="128">
        <f t="shared" si="94"/>
        <v>0</v>
      </c>
      <c r="X87" t="str">
        <f t="shared" si="91"/>
        <v>2,55,16</v>
      </c>
      <c r="Y87" s="151">
        <f t="shared" si="93"/>
        <v>0.01370357479508112</v>
      </c>
      <c r="Z87" s="151">
        <f t="shared" si="92"/>
        <v>0.09088833859878985</v>
      </c>
    </row>
    <row r="88" spans="1:26" ht="12.75">
      <c r="A88" s="141">
        <f>+'SMAW-SMAW'!A88</f>
        <v>71</v>
      </c>
      <c r="B88" s="142">
        <v>2.5</v>
      </c>
      <c r="C88" s="143">
        <v>73</v>
      </c>
      <c r="D88" s="143">
        <v>5.16</v>
      </c>
      <c r="E88" s="144" t="s">
        <v>87</v>
      </c>
      <c r="F88" s="145">
        <f t="shared" si="95"/>
        <v>2</v>
      </c>
      <c r="G88" s="145">
        <f t="shared" si="77"/>
        <v>2</v>
      </c>
      <c r="H88" s="145">
        <f t="shared" si="96"/>
        <v>2</v>
      </c>
      <c r="I88" s="146">
        <f t="shared" si="97"/>
        <v>2.4247532820135147</v>
      </c>
      <c r="J88" s="147"/>
      <c r="K88" s="145">
        <f t="shared" si="98"/>
        <v>0</v>
      </c>
      <c r="L88" s="145">
        <f t="shared" si="99"/>
        <v>6</v>
      </c>
      <c r="M88" s="145">
        <f t="shared" si="100"/>
        <v>6.32</v>
      </c>
      <c r="N88" s="145">
        <f t="shared" si="101"/>
        <v>7.662220371162706</v>
      </c>
      <c r="O88" s="145">
        <f t="shared" si="102"/>
        <v>0</v>
      </c>
      <c r="P88" s="145">
        <f t="shared" si="103"/>
        <v>23.69901312805406</v>
      </c>
      <c r="Q88" s="147">
        <f t="shared" si="104"/>
        <v>37.681233499216766</v>
      </c>
      <c r="R88" s="147"/>
      <c r="S88" s="128">
        <f t="shared" si="105"/>
        <v>0.01370357479508112</v>
      </c>
      <c r="T88" s="128">
        <f t="shared" si="106"/>
        <v>0.09088833859878985</v>
      </c>
      <c r="U88" s="145">
        <f t="shared" si="107"/>
        <v>0</v>
      </c>
      <c r="V88" s="145">
        <f t="shared" si="108"/>
        <v>0</v>
      </c>
      <c r="W88" s="128">
        <f t="shared" si="94"/>
        <v>0</v>
      </c>
      <c r="X88" t="str">
        <f t="shared" si="91"/>
        <v>2,55,16</v>
      </c>
      <c r="Y88" s="151">
        <f t="shared" si="93"/>
        <v>0.01370357479508112</v>
      </c>
      <c r="Z88" s="151">
        <f t="shared" si="92"/>
        <v>0.09088833859878985</v>
      </c>
    </row>
    <row r="89" spans="1:26" ht="12.75">
      <c r="A89" s="141">
        <f>+'SMAW-SMAW'!A89</f>
        <v>72</v>
      </c>
      <c r="B89" s="142">
        <v>2.5</v>
      </c>
      <c r="C89" s="143">
        <v>73</v>
      </c>
      <c r="D89" s="143">
        <v>7.01</v>
      </c>
      <c r="E89" s="144" t="s">
        <v>88</v>
      </c>
      <c r="F89" s="145">
        <f t="shared" si="95"/>
        <v>2</v>
      </c>
      <c r="G89" s="145">
        <f t="shared" si="77"/>
        <v>2</v>
      </c>
      <c r="H89" s="145">
        <f t="shared" si="96"/>
        <v>2</v>
      </c>
      <c r="I89" s="146">
        <f t="shared" si="97"/>
        <v>3.8443082097745913</v>
      </c>
      <c r="J89" s="147"/>
      <c r="K89" s="145">
        <f t="shared" si="98"/>
        <v>0</v>
      </c>
      <c r="L89" s="145">
        <f t="shared" si="99"/>
        <v>6</v>
      </c>
      <c r="M89" s="145">
        <f t="shared" si="100"/>
        <v>10.02</v>
      </c>
      <c r="N89" s="145">
        <f t="shared" si="101"/>
        <v>19.2599841309707</v>
      </c>
      <c r="O89" s="145">
        <f t="shared" si="102"/>
        <v>0</v>
      </c>
      <c r="P89" s="145">
        <f t="shared" si="103"/>
        <v>29.377232839098365</v>
      </c>
      <c r="Q89" s="147">
        <f t="shared" si="104"/>
        <v>58.657216970069065</v>
      </c>
      <c r="R89" s="147"/>
      <c r="S89" s="128">
        <f t="shared" si="105"/>
        <v>0.012943178473218488</v>
      </c>
      <c r="T89" s="128">
        <f t="shared" si="106"/>
        <v>0.13962463345739498</v>
      </c>
      <c r="U89" s="145">
        <f t="shared" si="107"/>
        <v>0</v>
      </c>
      <c r="V89" s="145">
        <f t="shared" si="108"/>
        <v>0</v>
      </c>
      <c r="W89" s="128">
        <f t="shared" si="94"/>
        <v>0</v>
      </c>
      <c r="X89" t="str">
        <f t="shared" si="91"/>
        <v>2,57,01</v>
      </c>
      <c r="Y89" s="151">
        <f t="shared" si="93"/>
        <v>0.012943178473218488</v>
      </c>
      <c r="Z89" s="151">
        <f t="shared" si="92"/>
        <v>0.13962463345739498</v>
      </c>
    </row>
    <row r="90" spans="1:26" ht="12.75">
      <c r="A90" s="141">
        <f>+'SMAW-SMAW'!A90</f>
        <v>73</v>
      </c>
      <c r="B90" s="142">
        <v>2.5</v>
      </c>
      <c r="C90" s="143">
        <v>73</v>
      </c>
      <c r="D90" s="143">
        <v>7.01</v>
      </c>
      <c r="E90" s="144" t="s">
        <v>82</v>
      </c>
      <c r="F90" s="145">
        <f t="shared" si="95"/>
        <v>2</v>
      </c>
      <c r="G90" s="145">
        <f t="shared" si="77"/>
        <v>2</v>
      </c>
      <c r="H90" s="145">
        <f t="shared" si="96"/>
        <v>2</v>
      </c>
      <c r="I90" s="146">
        <f t="shared" si="97"/>
        <v>3.8443082097745913</v>
      </c>
      <c r="J90" s="147"/>
      <c r="K90" s="145">
        <f t="shared" si="98"/>
        <v>0</v>
      </c>
      <c r="L90" s="145">
        <f t="shared" si="99"/>
        <v>6</v>
      </c>
      <c r="M90" s="145">
        <f t="shared" si="100"/>
        <v>10.02</v>
      </c>
      <c r="N90" s="145">
        <f t="shared" si="101"/>
        <v>19.2599841309707</v>
      </c>
      <c r="O90" s="145">
        <f t="shared" si="102"/>
        <v>0</v>
      </c>
      <c r="P90" s="145">
        <f t="shared" si="103"/>
        <v>29.377232839098365</v>
      </c>
      <c r="Q90" s="147">
        <f t="shared" si="104"/>
        <v>58.657216970069065</v>
      </c>
      <c r="R90" s="147"/>
      <c r="S90" s="128">
        <f t="shared" si="105"/>
        <v>0.012943178473218488</v>
      </c>
      <c r="T90" s="128">
        <f t="shared" si="106"/>
        <v>0.13962463345739498</v>
      </c>
      <c r="U90" s="145">
        <f t="shared" si="107"/>
        <v>0</v>
      </c>
      <c r="V90" s="145">
        <f t="shared" si="108"/>
        <v>0</v>
      </c>
      <c r="W90" s="128">
        <f t="shared" si="94"/>
        <v>0</v>
      </c>
      <c r="X90" t="str">
        <f t="shared" si="91"/>
        <v>2,57,01</v>
      </c>
      <c r="Y90" s="151">
        <f t="shared" si="93"/>
        <v>0.012943178473218488</v>
      </c>
      <c r="Z90" s="151">
        <f t="shared" si="92"/>
        <v>0.13962463345739498</v>
      </c>
    </row>
    <row r="91" spans="1:26" ht="12.75">
      <c r="A91" s="141">
        <f>+'SMAW-SMAW'!A91</f>
        <v>74</v>
      </c>
      <c r="B91" s="142">
        <v>2.5</v>
      </c>
      <c r="C91" s="143">
        <v>73</v>
      </c>
      <c r="D91" s="143">
        <v>7.01</v>
      </c>
      <c r="E91" s="144" t="s">
        <v>89</v>
      </c>
      <c r="F91" s="145">
        <f t="shared" si="95"/>
        <v>2</v>
      </c>
      <c r="G91" s="145">
        <f t="shared" si="77"/>
        <v>2</v>
      </c>
      <c r="H91" s="145">
        <f t="shared" si="96"/>
        <v>2</v>
      </c>
      <c r="I91" s="146">
        <f t="shared" si="97"/>
        <v>3.8443082097745913</v>
      </c>
      <c r="J91" s="147"/>
      <c r="K91" s="145">
        <f t="shared" si="98"/>
        <v>0</v>
      </c>
      <c r="L91" s="145">
        <f t="shared" si="99"/>
        <v>6</v>
      </c>
      <c r="M91" s="145">
        <f t="shared" si="100"/>
        <v>10.02</v>
      </c>
      <c r="N91" s="145">
        <f t="shared" si="101"/>
        <v>19.2599841309707</v>
      </c>
      <c r="O91" s="145">
        <f t="shared" si="102"/>
        <v>0</v>
      </c>
      <c r="P91" s="145">
        <f t="shared" si="103"/>
        <v>29.377232839098365</v>
      </c>
      <c r="Q91" s="147">
        <f t="shared" si="104"/>
        <v>58.657216970069065</v>
      </c>
      <c r="R91" s="147"/>
      <c r="S91" s="128">
        <f t="shared" si="105"/>
        <v>0.012943178473218488</v>
      </c>
      <c r="T91" s="128">
        <f t="shared" si="106"/>
        <v>0.13962463345739498</v>
      </c>
      <c r="U91" s="145">
        <f t="shared" si="107"/>
        <v>0</v>
      </c>
      <c r="V91" s="145">
        <f t="shared" si="108"/>
        <v>0</v>
      </c>
      <c r="W91" s="128">
        <f t="shared" si="94"/>
        <v>0</v>
      </c>
      <c r="X91" t="str">
        <f t="shared" si="91"/>
        <v>2,57,01</v>
      </c>
      <c r="Y91" s="151">
        <f t="shared" si="93"/>
        <v>0.012943178473218488</v>
      </c>
      <c r="Z91" s="151">
        <f t="shared" si="92"/>
        <v>0.13962463345739498</v>
      </c>
    </row>
    <row r="92" spans="1:26" ht="12.75">
      <c r="A92" s="141">
        <f>+'SMAW-SMAW'!A92</f>
        <v>75</v>
      </c>
      <c r="B92" s="142">
        <v>2.5</v>
      </c>
      <c r="C92" s="143">
        <v>73</v>
      </c>
      <c r="D92" s="143">
        <v>9.52</v>
      </c>
      <c r="E92" s="144" t="s">
        <v>90</v>
      </c>
      <c r="F92" s="145">
        <f t="shared" si="95"/>
        <v>2</v>
      </c>
      <c r="G92" s="145">
        <f t="shared" si="77"/>
        <v>2</v>
      </c>
      <c r="H92" s="145">
        <f t="shared" si="96"/>
        <v>2</v>
      </c>
      <c r="I92" s="146">
        <f t="shared" si="97"/>
        <v>5.770298949601782</v>
      </c>
      <c r="J92" s="147"/>
      <c r="K92" s="145">
        <f t="shared" si="98"/>
        <v>0</v>
      </c>
      <c r="L92" s="145">
        <f t="shared" si="99"/>
        <v>6</v>
      </c>
      <c r="M92" s="145">
        <f t="shared" si="100"/>
        <v>15.04</v>
      </c>
      <c r="N92" s="145">
        <f t="shared" si="101"/>
        <v>43.39264810100539</v>
      </c>
      <c r="O92" s="145">
        <f t="shared" si="102"/>
        <v>0</v>
      </c>
      <c r="P92" s="145">
        <f t="shared" si="103"/>
        <v>37.08119579840712</v>
      </c>
      <c r="Q92" s="147">
        <f t="shared" si="104"/>
        <v>95.5138438994125</v>
      </c>
      <c r="R92" s="147"/>
      <c r="S92" s="128">
        <f t="shared" si="105"/>
        <v>0.01191150562571838</v>
      </c>
      <c r="T92" s="128">
        <f t="shared" si="106"/>
        <v>0.2232504662220816</v>
      </c>
      <c r="U92" s="145">
        <f t="shared" si="107"/>
        <v>0</v>
      </c>
      <c r="V92" s="145">
        <f t="shared" si="108"/>
        <v>0</v>
      </c>
      <c r="W92" s="128">
        <f t="shared" si="94"/>
        <v>0</v>
      </c>
      <c r="X92" t="str">
        <f t="shared" si="91"/>
        <v>2,59,52</v>
      </c>
      <c r="Y92" s="151">
        <f t="shared" si="93"/>
        <v>0.01191150562571838</v>
      </c>
      <c r="Z92" s="151">
        <f t="shared" si="92"/>
        <v>0.2232504662220816</v>
      </c>
    </row>
    <row r="93" spans="1:26" ht="12.75">
      <c r="A93" s="141">
        <f>+'SMAW-SMAW'!A93</f>
        <v>76</v>
      </c>
      <c r="B93" s="142">
        <v>2.5</v>
      </c>
      <c r="C93" s="143">
        <v>73</v>
      </c>
      <c r="D93" s="143">
        <v>14.021</v>
      </c>
      <c r="E93" s="144" t="s">
        <v>83</v>
      </c>
      <c r="F93" s="145">
        <f t="shared" si="95"/>
        <v>2</v>
      </c>
      <c r="G93" s="145">
        <f t="shared" si="77"/>
        <v>2</v>
      </c>
      <c r="H93" s="145">
        <f t="shared" si="96"/>
        <v>2</v>
      </c>
      <c r="I93" s="146">
        <f t="shared" si="97"/>
        <v>9.224037722495083</v>
      </c>
      <c r="J93" s="147"/>
      <c r="K93" s="145">
        <f t="shared" si="98"/>
        <v>0</v>
      </c>
      <c r="L93" s="145">
        <f t="shared" si="99"/>
        <v>6</v>
      </c>
      <c r="M93" s="145">
        <f t="shared" si="100"/>
        <v>24.042</v>
      </c>
      <c r="N93" s="145">
        <f t="shared" si="101"/>
        <v>110.8821574621134</v>
      </c>
      <c r="O93" s="145">
        <f t="shared" si="102"/>
        <v>0</v>
      </c>
      <c r="P93" s="145">
        <f t="shared" si="103"/>
        <v>50.89615088998033</v>
      </c>
      <c r="Q93" s="147">
        <f t="shared" si="104"/>
        <v>185.82030835209372</v>
      </c>
      <c r="R93" s="147"/>
      <c r="S93" s="128">
        <f t="shared" si="105"/>
        <v>0.010061481925878545</v>
      </c>
      <c r="T93" s="128">
        <f t="shared" si="106"/>
        <v>0.42000556732248145</v>
      </c>
      <c r="U93" s="145">
        <f t="shared" si="107"/>
        <v>0</v>
      </c>
      <c r="V93" s="145">
        <f t="shared" si="108"/>
        <v>0</v>
      </c>
      <c r="W93" s="128">
        <f t="shared" si="94"/>
        <v>0</v>
      </c>
      <c r="X93" t="str">
        <f t="shared" si="91"/>
        <v>2,514,021</v>
      </c>
      <c r="Y93" s="151">
        <f t="shared" si="93"/>
        <v>0.010061481925878545</v>
      </c>
      <c r="Z93" s="151">
        <f t="shared" si="92"/>
        <v>0.42000556732248145</v>
      </c>
    </row>
    <row r="94" spans="1:26" ht="12.75">
      <c r="A94" s="141">
        <f>+'SMAW-SMAW'!A94</f>
        <v>77</v>
      </c>
      <c r="B94" s="142"/>
      <c r="C94" s="143"/>
      <c r="D94" s="143"/>
      <c r="E94" s="144"/>
      <c r="F94" s="145"/>
      <c r="G94" s="145">
        <f t="shared" si="77"/>
        <v>0</v>
      </c>
      <c r="H94" s="145"/>
      <c r="I94" s="146"/>
      <c r="J94" s="147"/>
      <c r="K94" s="145"/>
      <c r="L94" s="145"/>
      <c r="M94" s="145"/>
      <c r="N94" s="145"/>
      <c r="O94" s="145"/>
      <c r="P94" s="145"/>
      <c r="Q94" s="147"/>
      <c r="R94" s="147"/>
      <c r="S94" s="128"/>
      <c r="T94" s="128"/>
      <c r="U94" s="145"/>
      <c r="V94" s="145"/>
      <c r="W94" s="128">
        <f t="shared" si="94"/>
        <v>0</v>
      </c>
      <c r="X94">
        <f t="shared" si="91"/>
      </c>
      <c r="Y94" s="151">
        <f t="shared" si="93"/>
        <v>0</v>
      </c>
      <c r="Z94" s="151">
        <f t="shared" si="92"/>
        <v>0</v>
      </c>
    </row>
    <row r="95" spans="1:26" ht="12.75">
      <c r="A95" s="141">
        <f>+'SMAW-SMAW'!A95</f>
        <v>78</v>
      </c>
      <c r="B95" s="142">
        <v>3</v>
      </c>
      <c r="C95" s="143">
        <v>88.9</v>
      </c>
      <c r="D95" s="143">
        <v>2.11</v>
      </c>
      <c r="E95" s="144" t="s">
        <v>81</v>
      </c>
      <c r="F95" s="145">
        <f aca="true" t="shared" si="109" ref="F95:F104">IF($D$6=1,2,3)</f>
        <v>2</v>
      </c>
      <c r="G95" s="145">
        <f t="shared" si="77"/>
        <v>2</v>
      </c>
      <c r="H95" s="145">
        <f aca="true" t="shared" si="110" ref="H95:H104">IF(D95&lt;=19,2,3)</f>
        <v>2</v>
      </c>
      <c r="I95" s="146">
        <f aca="true" t="shared" si="111" ref="I95:I104">IF(D95&lt;=19,(D95-G95)*TAN($C$8*PI()/180),(19-G95)*TAN($C$8*PI()/180))</f>
        <v>0.08440596867768554</v>
      </c>
      <c r="J95" s="147"/>
      <c r="K95" s="145">
        <f aca="true" t="shared" si="112" ref="K95:K104">IF(D95&lt;=19,0,(D95-19)*TAN($C$10*PI()/180))</f>
        <v>0</v>
      </c>
      <c r="L95" s="145">
        <f aca="true" t="shared" si="113" ref="L95:L104">+F95*(G95*1.5)</f>
        <v>6</v>
      </c>
      <c r="M95" s="145">
        <f aca="true" t="shared" si="114" ref="M95:M104">+F95*(D95-G95)</f>
        <v>0.21999999999999975</v>
      </c>
      <c r="N95" s="145">
        <f aca="true" t="shared" si="115" ref="N95:N104">IF(D95&lt;=19,(D95-G95)*I95,(19-G95)*I95)</f>
        <v>0.0092846565545454</v>
      </c>
      <c r="O95" s="145">
        <f aca="true" t="shared" si="116" ref="O95:O104">IF(D95&lt;=19,0,(I95*(D95-19)*2)+((K95)*(D95-19)))</f>
        <v>0</v>
      </c>
      <c r="P95" s="145">
        <f aca="true" t="shared" si="117" ref="P95:P104">+(5+F95+(2*(I95+K95)))*H95</f>
        <v>14.337623874710742</v>
      </c>
      <c r="Q95" s="147">
        <f aca="true" t="shared" si="118" ref="Q95:Q104">SUM(M95:P95)</f>
        <v>14.566908531265288</v>
      </c>
      <c r="R95" s="147"/>
      <c r="S95" s="128">
        <f aca="true" t="shared" si="119" ref="S95:S104">IF(D$6=1,(PI()*(C95-(2*D95)+(2*G95))*L95*0.1*0.01*7.85*0.001/(S$16*S$17)),0)</f>
        <v>0.01822485022237243</v>
      </c>
      <c r="T95" s="128">
        <f aca="true" t="shared" si="120" ref="T95:T104">IF(D$6=1,(PI()*(C95-(0.5*D95))*(Q95)*0.1*0.01*7.85*0.001/(T$16*T$17)),0)</f>
        <v>0.04383000027580151</v>
      </c>
      <c r="U95" s="145">
        <f aca="true" t="shared" si="121" ref="U95:U104">IF(D$6=1,0,(PI()*(C95-(2*D95)+(2*G95))*L95*0.1*0.01*7.85*0.001/(U$16*U$17)))</f>
        <v>0</v>
      </c>
      <c r="V95" s="145">
        <f aca="true" t="shared" si="122" ref="V95:V104">IF(D$6=1,0,(PI()*(C95-(0.5*D95))*(Q95)*0.1*0.01*7.85*0.001/(V$16*V$17)))</f>
        <v>0</v>
      </c>
      <c r="W95" s="128">
        <f t="shared" si="94"/>
        <v>0</v>
      </c>
      <c r="X95" t="str">
        <f t="shared" si="91"/>
        <v>32,11</v>
      </c>
      <c r="Y95" s="151">
        <f t="shared" si="93"/>
        <v>0.01822485022237243</v>
      </c>
      <c r="Z95" s="151">
        <f t="shared" si="92"/>
        <v>0.04383000027580151</v>
      </c>
    </row>
    <row r="96" spans="1:26" ht="12.75">
      <c r="A96" s="141">
        <f>+'SMAW-SMAW'!A96</f>
        <v>79</v>
      </c>
      <c r="B96" s="142">
        <v>3</v>
      </c>
      <c r="C96" s="143">
        <v>88.9</v>
      </c>
      <c r="D96" s="143">
        <v>3.05</v>
      </c>
      <c r="E96" s="144" t="s">
        <v>84</v>
      </c>
      <c r="F96" s="145">
        <f t="shared" si="109"/>
        <v>2</v>
      </c>
      <c r="G96" s="145">
        <f t="shared" si="77"/>
        <v>2</v>
      </c>
      <c r="H96" s="145">
        <f t="shared" si="110"/>
        <v>2</v>
      </c>
      <c r="I96" s="146">
        <f t="shared" si="111"/>
        <v>0.8056933373779083</v>
      </c>
      <c r="J96" s="147"/>
      <c r="K96" s="145">
        <f t="shared" si="112"/>
        <v>0</v>
      </c>
      <c r="L96" s="145">
        <f t="shared" si="113"/>
        <v>6</v>
      </c>
      <c r="M96" s="145">
        <f t="shared" si="114"/>
        <v>2.0999999999999996</v>
      </c>
      <c r="N96" s="145">
        <f t="shared" si="115"/>
        <v>0.8459780042468036</v>
      </c>
      <c r="O96" s="145">
        <f t="shared" si="116"/>
        <v>0</v>
      </c>
      <c r="P96" s="145">
        <f t="shared" si="117"/>
        <v>17.222773349511634</v>
      </c>
      <c r="Q96" s="147">
        <f t="shared" si="118"/>
        <v>20.168751353758438</v>
      </c>
      <c r="R96" s="147"/>
      <c r="S96" s="128">
        <f t="shared" si="119"/>
        <v>0.017838486685858444</v>
      </c>
      <c r="T96" s="128">
        <f t="shared" si="120"/>
        <v>0.06036055629406493</v>
      </c>
      <c r="U96" s="145">
        <f t="shared" si="121"/>
        <v>0</v>
      </c>
      <c r="V96" s="145">
        <f t="shared" si="122"/>
        <v>0</v>
      </c>
      <c r="W96" s="128">
        <f t="shared" si="94"/>
        <v>0</v>
      </c>
      <c r="X96" t="str">
        <f t="shared" si="91"/>
        <v>33,05</v>
      </c>
      <c r="Y96" s="151">
        <f t="shared" si="93"/>
        <v>0.017838486685858444</v>
      </c>
      <c r="Z96" s="151">
        <f t="shared" si="92"/>
        <v>0.06036055629406493</v>
      </c>
    </row>
    <row r="97" spans="1:26" ht="12.75">
      <c r="A97" s="141">
        <f>+'SMAW-SMAW'!A97</f>
        <v>80</v>
      </c>
      <c r="B97" s="142">
        <v>3</v>
      </c>
      <c r="C97" s="143">
        <v>88.9</v>
      </c>
      <c r="D97" s="143">
        <v>5.49</v>
      </c>
      <c r="E97" s="144" t="s">
        <v>85</v>
      </c>
      <c r="F97" s="145">
        <f t="shared" si="109"/>
        <v>2</v>
      </c>
      <c r="G97" s="145">
        <f t="shared" si="77"/>
        <v>2</v>
      </c>
      <c r="H97" s="145">
        <f t="shared" si="110"/>
        <v>2</v>
      </c>
      <c r="I97" s="146">
        <f t="shared" si="111"/>
        <v>2.677971188046572</v>
      </c>
      <c r="J97" s="147"/>
      <c r="K97" s="145">
        <f t="shared" si="112"/>
        <v>0</v>
      </c>
      <c r="L97" s="145">
        <f t="shared" si="113"/>
        <v>6</v>
      </c>
      <c r="M97" s="145">
        <f t="shared" si="114"/>
        <v>6.98</v>
      </c>
      <c r="N97" s="145">
        <f t="shared" si="115"/>
        <v>9.346119446282536</v>
      </c>
      <c r="O97" s="145">
        <f t="shared" si="116"/>
        <v>0</v>
      </c>
      <c r="P97" s="145">
        <f t="shared" si="117"/>
        <v>24.711884752186286</v>
      </c>
      <c r="Q97" s="147">
        <f t="shared" si="118"/>
        <v>41.038004198468826</v>
      </c>
      <c r="R97" s="147"/>
      <c r="S97" s="128">
        <f t="shared" si="119"/>
        <v>0.01683558559107746</v>
      </c>
      <c r="T97" s="128">
        <f t="shared" si="120"/>
        <v>0.12110267921068066</v>
      </c>
      <c r="U97" s="145">
        <f t="shared" si="121"/>
        <v>0</v>
      </c>
      <c r="V97" s="145">
        <f t="shared" si="122"/>
        <v>0</v>
      </c>
      <c r="W97" s="128">
        <f t="shared" si="94"/>
        <v>0</v>
      </c>
      <c r="X97" t="str">
        <f t="shared" si="91"/>
        <v>35,49</v>
      </c>
      <c r="Y97" s="151">
        <f t="shared" si="93"/>
        <v>0.01683558559107746</v>
      </c>
      <c r="Z97" s="151">
        <f t="shared" si="92"/>
        <v>0.12110267921068066</v>
      </c>
    </row>
    <row r="98" spans="1:26" ht="12.75">
      <c r="A98" s="141">
        <f>+'SMAW-SMAW'!A98</f>
        <v>81</v>
      </c>
      <c r="B98" s="142">
        <v>3</v>
      </c>
      <c r="C98" s="143">
        <v>88.9</v>
      </c>
      <c r="D98" s="143">
        <v>5.49</v>
      </c>
      <c r="E98" s="144" t="s">
        <v>86</v>
      </c>
      <c r="F98" s="145">
        <f t="shared" si="109"/>
        <v>2</v>
      </c>
      <c r="G98" s="145">
        <f t="shared" si="77"/>
        <v>2</v>
      </c>
      <c r="H98" s="145">
        <f t="shared" si="110"/>
        <v>2</v>
      </c>
      <c r="I98" s="146">
        <f t="shared" si="111"/>
        <v>2.677971188046572</v>
      </c>
      <c r="J98" s="147"/>
      <c r="K98" s="145">
        <f t="shared" si="112"/>
        <v>0</v>
      </c>
      <c r="L98" s="145">
        <f t="shared" si="113"/>
        <v>6</v>
      </c>
      <c r="M98" s="145">
        <f t="shared" si="114"/>
        <v>6.98</v>
      </c>
      <c r="N98" s="145">
        <f t="shared" si="115"/>
        <v>9.346119446282536</v>
      </c>
      <c r="O98" s="145">
        <f t="shared" si="116"/>
        <v>0</v>
      </c>
      <c r="P98" s="145">
        <f t="shared" si="117"/>
        <v>24.711884752186286</v>
      </c>
      <c r="Q98" s="147">
        <f t="shared" si="118"/>
        <v>41.038004198468826</v>
      </c>
      <c r="R98" s="147"/>
      <c r="S98" s="128">
        <f t="shared" si="119"/>
        <v>0.01683558559107746</v>
      </c>
      <c r="T98" s="128">
        <f t="shared" si="120"/>
        <v>0.12110267921068066</v>
      </c>
      <c r="U98" s="145">
        <f t="shared" si="121"/>
        <v>0</v>
      </c>
      <c r="V98" s="145">
        <f t="shared" si="122"/>
        <v>0</v>
      </c>
      <c r="W98" s="128">
        <f t="shared" si="94"/>
        <v>0</v>
      </c>
      <c r="X98" t="str">
        <f t="shared" si="91"/>
        <v>35,49</v>
      </c>
      <c r="Y98" s="151">
        <f t="shared" si="93"/>
        <v>0.01683558559107746</v>
      </c>
      <c r="Z98" s="151">
        <f t="shared" si="92"/>
        <v>0.12110267921068066</v>
      </c>
    </row>
    <row r="99" spans="1:26" ht="12.75">
      <c r="A99" s="141">
        <f>+'SMAW-SMAW'!A99</f>
        <v>82</v>
      </c>
      <c r="B99" s="142">
        <v>3</v>
      </c>
      <c r="C99" s="143">
        <v>88.9</v>
      </c>
      <c r="D99" s="143">
        <v>5.49</v>
      </c>
      <c r="E99" s="144" t="s">
        <v>87</v>
      </c>
      <c r="F99" s="145">
        <f t="shared" si="109"/>
        <v>2</v>
      </c>
      <c r="G99" s="145">
        <f t="shared" si="77"/>
        <v>2</v>
      </c>
      <c r="H99" s="145">
        <f t="shared" si="110"/>
        <v>2</v>
      </c>
      <c r="I99" s="146">
        <f t="shared" si="111"/>
        <v>2.677971188046572</v>
      </c>
      <c r="J99" s="147"/>
      <c r="K99" s="145">
        <f t="shared" si="112"/>
        <v>0</v>
      </c>
      <c r="L99" s="145">
        <f t="shared" si="113"/>
        <v>6</v>
      </c>
      <c r="M99" s="145">
        <f t="shared" si="114"/>
        <v>6.98</v>
      </c>
      <c r="N99" s="145">
        <f t="shared" si="115"/>
        <v>9.346119446282536</v>
      </c>
      <c r="O99" s="145">
        <f t="shared" si="116"/>
        <v>0</v>
      </c>
      <c r="P99" s="145">
        <f t="shared" si="117"/>
        <v>24.711884752186286</v>
      </c>
      <c r="Q99" s="147">
        <f t="shared" si="118"/>
        <v>41.038004198468826</v>
      </c>
      <c r="R99" s="147"/>
      <c r="S99" s="128">
        <f t="shared" si="119"/>
        <v>0.01683558559107746</v>
      </c>
      <c r="T99" s="128">
        <f t="shared" si="120"/>
        <v>0.12110267921068066</v>
      </c>
      <c r="U99" s="145">
        <f t="shared" si="121"/>
        <v>0</v>
      </c>
      <c r="V99" s="145">
        <f t="shared" si="122"/>
        <v>0</v>
      </c>
      <c r="W99" s="128">
        <f t="shared" si="94"/>
        <v>0</v>
      </c>
      <c r="X99" t="str">
        <f t="shared" si="91"/>
        <v>35,49</v>
      </c>
      <c r="Y99" s="151">
        <f t="shared" si="93"/>
        <v>0.01683558559107746</v>
      </c>
      <c r="Z99" s="151">
        <f t="shared" si="92"/>
        <v>0.12110267921068066</v>
      </c>
    </row>
    <row r="100" spans="1:26" ht="12.75">
      <c r="A100" s="141">
        <f>+'SMAW-SMAW'!A100</f>
        <v>83</v>
      </c>
      <c r="B100" s="142">
        <v>3</v>
      </c>
      <c r="C100" s="143">
        <v>88.9</v>
      </c>
      <c r="D100" s="143">
        <v>7.62</v>
      </c>
      <c r="E100" s="144" t="s">
        <v>88</v>
      </c>
      <c r="F100" s="145">
        <f t="shared" si="109"/>
        <v>2</v>
      </c>
      <c r="G100" s="145">
        <f t="shared" si="77"/>
        <v>2</v>
      </c>
      <c r="H100" s="145">
        <f t="shared" si="110"/>
        <v>2</v>
      </c>
      <c r="I100" s="146">
        <f t="shared" si="111"/>
        <v>4.312377672441757</v>
      </c>
      <c r="J100" s="147"/>
      <c r="K100" s="145">
        <f t="shared" si="112"/>
        <v>0</v>
      </c>
      <c r="L100" s="145">
        <f t="shared" si="113"/>
        <v>6</v>
      </c>
      <c r="M100" s="145">
        <f t="shared" si="114"/>
        <v>11.24</v>
      </c>
      <c r="N100" s="145">
        <f t="shared" si="115"/>
        <v>24.235562519122674</v>
      </c>
      <c r="O100" s="145">
        <f t="shared" si="116"/>
        <v>0</v>
      </c>
      <c r="P100" s="145">
        <f t="shared" si="117"/>
        <v>31.24951068976703</v>
      </c>
      <c r="Q100" s="147">
        <f t="shared" si="118"/>
        <v>66.72507320888971</v>
      </c>
      <c r="R100" s="147"/>
      <c r="S100" s="128">
        <f t="shared" si="119"/>
        <v>0.015960102258338327</v>
      </c>
      <c r="T100" s="128">
        <f t="shared" si="120"/>
        <v>0.19447089620570224</v>
      </c>
      <c r="U100" s="145">
        <f t="shared" si="121"/>
        <v>0</v>
      </c>
      <c r="V100" s="145">
        <f t="shared" si="122"/>
        <v>0</v>
      </c>
      <c r="W100" s="128">
        <f t="shared" si="94"/>
        <v>0</v>
      </c>
      <c r="X100" t="str">
        <f t="shared" si="91"/>
        <v>37,62</v>
      </c>
      <c r="Y100" s="151">
        <f t="shared" si="93"/>
        <v>0.015960102258338327</v>
      </c>
      <c r="Z100" s="151">
        <f t="shared" si="92"/>
        <v>0.19447089620570224</v>
      </c>
    </row>
    <row r="101" spans="1:26" ht="12.75">
      <c r="A101" s="141">
        <f>+'SMAW-SMAW'!A101</f>
        <v>84</v>
      </c>
      <c r="B101" s="142">
        <v>3</v>
      </c>
      <c r="C101" s="143">
        <v>88.9</v>
      </c>
      <c r="D101" s="143">
        <v>7.62</v>
      </c>
      <c r="E101" s="144" t="s">
        <v>82</v>
      </c>
      <c r="F101" s="145">
        <f t="shared" si="109"/>
        <v>2</v>
      </c>
      <c r="G101" s="145">
        <f t="shared" si="77"/>
        <v>2</v>
      </c>
      <c r="H101" s="145">
        <f t="shared" si="110"/>
        <v>2</v>
      </c>
      <c r="I101" s="146">
        <f t="shared" si="111"/>
        <v>4.312377672441757</v>
      </c>
      <c r="J101" s="147"/>
      <c r="K101" s="145">
        <f t="shared" si="112"/>
        <v>0</v>
      </c>
      <c r="L101" s="145">
        <f t="shared" si="113"/>
        <v>6</v>
      </c>
      <c r="M101" s="145">
        <f t="shared" si="114"/>
        <v>11.24</v>
      </c>
      <c r="N101" s="145">
        <f t="shared" si="115"/>
        <v>24.235562519122674</v>
      </c>
      <c r="O101" s="145">
        <f t="shared" si="116"/>
        <v>0</v>
      </c>
      <c r="P101" s="145">
        <f t="shared" si="117"/>
        <v>31.24951068976703</v>
      </c>
      <c r="Q101" s="147">
        <f t="shared" si="118"/>
        <v>66.72507320888971</v>
      </c>
      <c r="R101" s="147"/>
      <c r="S101" s="128">
        <f t="shared" si="119"/>
        <v>0.015960102258338327</v>
      </c>
      <c r="T101" s="128">
        <f t="shared" si="120"/>
        <v>0.19447089620570224</v>
      </c>
      <c r="U101" s="145">
        <f t="shared" si="121"/>
        <v>0</v>
      </c>
      <c r="V101" s="145">
        <f t="shared" si="122"/>
        <v>0</v>
      </c>
      <c r="W101" s="128">
        <f t="shared" si="94"/>
        <v>0</v>
      </c>
      <c r="X101" t="str">
        <f t="shared" si="91"/>
        <v>37,62</v>
      </c>
      <c r="Y101" s="151">
        <f t="shared" si="93"/>
        <v>0.015960102258338327</v>
      </c>
      <c r="Z101" s="151">
        <f t="shared" si="92"/>
        <v>0.19447089620570224</v>
      </c>
    </row>
    <row r="102" spans="1:26" ht="12.75">
      <c r="A102" s="141">
        <f>+'SMAW-SMAW'!A102</f>
        <v>85</v>
      </c>
      <c r="B102" s="142">
        <v>3</v>
      </c>
      <c r="C102" s="143">
        <v>88.9</v>
      </c>
      <c r="D102" s="143">
        <v>7.62</v>
      </c>
      <c r="E102" s="144" t="s">
        <v>89</v>
      </c>
      <c r="F102" s="145">
        <f t="shared" si="109"/>
        <v>2</v>
      </c>
      <c r="G102" s="145">
        <f t="shared" si="77"/>
        <v>2</v>
      </c>
      <c r="H102" s="145">
        <f t="shared" si="110"/>
        <v>2</v>
      </c>
      <c r="I102" s="146">
        <f t="shared" si="111"/>
        <v>4.312377672441757</v>
      </c>
      <c r="J102" s="147"/>
      <c r="K102" s="145">
        <f t="shared" si="112"/>
        <v>0</v>
      </c>
      <c r="L102" s="145">
        <f t="shared" si="113"/>
        <v>6</v>
      </c>
      <c r="M102" s="145">
        <f t="shared" si="114"/>
        <v>11.24</v>
      </c>
      <c r="N102" s="145">
        <f t="shared" si="115"/>
        <v>24.235562519122674</v>
      </c>
      <c r="O102" s="145">
        <f t="shared" si="116"/>
        <v>0</v>
      </c>
      <c r="P102" s="145">
        <f t="shared" si="117"/>
        <v>31.24951068976703</v>
      </c>
      <c r="Q102" s="147">
        <f t="shared" si="118"/>
        <v>66.72507320888971</v>
      </c>
      <c r="R102" s="147"/>
      <c r="S102" s="128">
        <f t="shared" si="119"/>
        <v>0.015960102258338327</v>
      </c>
      <c r="T102" s="128">
        <f t="shared" si="120"/>
        <v>0.19447089620570224</v>
      </c>
      <c r="U102" s="145">
        <f t="shared" si="121"/>
        <v>0</v>
      </c>
      <c r="V102" s="145">
        <f t="shared" si="122"/>
        <v>0</v>
      </c>
      <c r="W102" s="128">
        <f t="shared" si="94"/>
        <v>0</v>
      </c>
      <c r="X102" t="str">
        <f t="shared" si="91"/>
        <v>37,62</v>
      </c>
      <c r="Y102" s="151">
        <f t="shared" si="93"/>
        <v>0.015960102258338327</v>
      </c>
      <c r="Z102" s="151">
        <f t="shared" si="92"/>
        <v>0.19447089620570224</v>
      </c>
    </row>
    <row r="103" spans="1:26" ht="12.75">
      <c r="A103" s="141">
        <f>+'SMAW-SMAW'!A103</f>
        <v>86</v>
      </c>
      <c r="B103" s="142">
        <v>3</v>
      </c>
      <c r="C103" s="143">
        <v>88.9</v>
      </c>
      <c r="D103" s="143">
        <v>11.13</v>
      </c>
      <c r="E103" s="144" t="s">
        <v>90</v>
      </c>
      <c r="F103" s="145">
        <f t="shared" si="109"/>
        <v>2</v>
      </c>
      <c r="G103" s="145">
        <f t="shared" si="77"/>
        <v>2</v>
      </c>
      <c r="H103" s="145">
        <f t="shared" si="110"/>
        <v>2</v>
      </c>
      <c r="I103" s="146">
        <f t="shared" si="111"/>
        <v>7.005695400247909</v>
      </c>
      <c r="J103" s="147"/>
      <c r="K103" s="145">
        <f t="shared" si="112"/>
        <v>0</v>
      </c>
      <c r="L103" s="145">
        <f t="shared" si="113"/>
        <v>6</v>
      </c>
      <c r="M103" s="145">
        <f t="shared" si="114"/>
        <v>18.26</v>
      </c>
      <c r="N103" s="145">
        <f t="shared" si="115"/>
        <v>63.96199900426341</v>
      </c>
      <c r="O103" s="145">
        <f t="shared" si="116"/>
        <v>0</v>
      </c>
      <c r="P103" s="145">
        <f t="shared" si="117"/>
        <v>42.022781600991635</v>
      </c>
      <c r="Q103" s="147">
        <f t="shared" si="118"/>
        <v>124.24478060525504</v>
      </c>
      <c r="R103" s="147"/>
      <c r="S103" s="128">
        <f t="shared" si="119"/>
        <v>0.014517404371993555</v>
      </c>
      <c r="T103" s="128">
        <f t="shared" si="120"/>
        <v>0.35464400783914773</v>
      </c>
      <c r="U103" s="145">
        <f t="shared" si="121"/>
        <v>0</v>
      </c>
      <c r="V103" s="145">
        <f t="shared" si="122"/>
        <v>0</v>
      </c>
      <c r="W103" s="128">
        <f t="shared" si="94"/>
        <v>0</v>
      </c>
      <c r="X103" t="str">
        <f t="shared" si="91"/>
        <v>311,13</v>
      </c>
      <c r="Y103" s="151">
        <f t="shared" si="93"/>
        <v>0.014517404371993555</v>
      </c>
      <c r="Z103" s="151">
        <f t="shared" si="92"/>
        <v>0.35464400783914773</v>
      </c>
    </row>
    <row r="104" spans="1:26" ht="12.75">
      <c r="A104" s="141">
        <f>+'SMAW-SMAW'!A104</f>
        <v>87</v>
      </c>
      <c r="B104" s="142">
        <v>3</v>
      </c>
      <c r="C104" s="143">
        <v>88.9</v>
      </c>
      <c r="D104" s="143">
        <v>15.241</v>
      </c>
      <c r="E104" s="144" t="s">
        <v>83</v>
      </c>
      <c r="F104" s="145">
        <f t="shared" si="109"/>
        <v>2</v>
      </c>
      <c r="G104" s="145">
        <f t="shared" si="77"/>
        <v>2</v>
      </c>
      <c r="H104" s="145">
        <f t="shared" si="110"/>
        <v>2</v>
      </c>
      <c r="I104" s="146">
        <f t="shared" si="111"/>
        <v>10.160176647829415</v>
      </c>
      <c r="J104" s="147"/>
      <c r="K104" s="145">
        <f t="shared" si="112"/>
        <v>0</v>
      </c>
      <c r="L104" s="145">
        <f t="shared" si="113"/>
        <v>6</v>
      </c>
      <c r="M104" s="145">
        <f t="shared" si="114"/>
        <v>26.482</v>
      </c>
      <c r="N104" s="145">
        <f t="shared" si="115"/>
        <v>134.5308989939093</v>
      </c>
      <c r="O104" s="145">
        <f t="shared" si="116"/>
        <v>0</v>
      </c>
      <c r="P104" s="145">
        <f t="shared" si="117"/>
        <v>54.64070659131766</v>
      </c>
      <c r="Q104" s="147">
        <f t="shared" si="118"/>
        <v>215.65360558522696</v>
      </c>
      <c r="R104" s="147"/>
      <c r="S104" s="128">
        <f t="shared" si="119"/>
        <v>0.01282768043730314</v>
      </c>
      <c r="T104" s="128">
        <f t="shared" si="120"/>
        <v>0.6003780141634325</v>
      </c>
      <c r="U104" s="145">
        <f t="shared" si="121"/>
        <v>0</v>
      </c>
      <c r="V104" s="145">
        <f t="shared" si="122"/>
        <v>0</v>
      </c>
      <c r="W104" s="128">
        <f t="shared" si="94"/>
        <v>0</v>
      </c>
      <c r="X104" t="str">
        <f t="shared" si="91"/>
        <v>315,241</v>
      </c>
      <c r="Y104" s="151">
        <f t="shared" si="93"/>
        <v>0.01282768043730314</v>
      </c>
      <c r="Z104" s="151">
        <f t="shared" si="92"/>
        <v>0.6003780141634325</v>
      </c>
    </row>
    <row r="105" spans="1:26" ht="12.75">
      <c r="A105" s="141">
        <f>+'SMAW-SMAW'!A105</f>
        <v>88</v>
      </c>
      <c r="B105" s="142"/>
      <c r="C105" s="143"/>
      <c r="D105" s="143"/>
      <c r="E105" s="144"/>
      <c r="F105" s="145"/>
      <c r="G105" s="145">
        <f aca="true" t="shared" si="123" ref="G105:G136">IF(D105&lt;2,D105,2)</f>
        <v>0</v>
      </c>
      <c r="H105" s="145"/>
      <c r="I105" s="146"/>
      <c r="J105" s="147"/>
      <c r="K105" s="145"/>
      <c r="L105" s="145"/>
      <c r="M105" s="145"/>
      <c r="N105" s="145"/>
      <c r="O105" s="145"/>
      <c r="P105" s="145"/>
      <c r="Q105" s="147"/>
      <c r="R105" s="147"/>
      <c r="S105" s="128"/>
      <c r="T105" s="128"/>
      <c r="U105" s="145"/>
      <c r="V105" s="145"/>
      <c r="W105" s="128">
        <f t="shared" si="94"/>
        <v>0</v>
      </c>
      <c r="X105">
        <f t="shared" si="91"/>
      </c>
      <c r="Y105" s="151">
        <f t="shared" si="93"/>
        <v>0</v>
      </c>
      <c r="Z105" s="151">
        <f t="shared" si="92"/>
        <v>0</v>
      </c>
    </row>
    <row r="106" spans="1:26" ht="12.75">
      <c r="A106" s="141">
        <f>+'SMAW-SMAW'!A106</f>
        <v>89</v>
      </c>
      <c r="B106" s="142">
        <v>3.5</v>
      </c>
      <c r="C106" s="143">
        <v>101.6</v>
      </c>
      <c r="D106" s="143">
        <v>2.11</v>
      </c>
      <c r="E106" s="144" t="s">
        <v>81</v>
      </c>
      <c r="F106" s="145">
        <f aca="true" t="shared" si="124" ref="F106:F113">IF($D$6=1,2,3)</f>
        <v>2</v>
      </c>
      <c r="G106" s="145">
        <f t="shared" si="123"/>
        <v>2</v>
      </c>
      <c r="H106" s="145">
        <f aca="true" t="shared" si="125" ref="H106:H113">IF(D106&lt;=19,2,3)</f>
        <v>2</v>
      </c>
      <c r="I106" s="146">
        <f aca="true" t="shared" si="126" ref="I106:I113">IF(D106&lt;=19,(D106-G106)*TAN($C$8*PI()/180),(19-G106)*TAN($C$8*PI()/180))</f>
        <v>0.08440596867768554</v>
      </c>
      <c r="J106" s="147"/>
      <c r="K106" s="145">
        <f aca="true" t="shared" si="127" ref="K106:K113">IF(D106&lt;=19,0,(D106-19)*TAN($C$10*PI()/180))</f>
        <v>0</v>
      </c>
      <c r="L106" s="145">
        <f aca="true" t="shared" si="128" ref="L106:L113">+F106*(G106*1.5)</f>
        <v>6</v>
      </c>
      <c r="M106" s="145">
        <f aca="true" t="shared" si="129" ref="M106:M113">+F106*(D106-G106)</f>
        <v>0.21999999999999975</v>
      </c>
      <c r="N106" s="145">
        <f aca="true" t="shared" si="130" ref="N106:N113">IF(D106&lt;=19,(D106-G106)*I106,(19-G106)*I106)</f>
        <v>0.0092846565545454</v>
      </c>
      <c r="O106" s="145">
        <f aca="true" t="shared" si="131" ref="O106:O113">IF(D106&lt;=19,0,(I106*(D106-19)*2)+((K106)*(D106-19)))</f>
        <v>0</v>
      </c>
      <c r="P106" s="145">
        <f aca="true" t="shared" si="132" ref="P106:P113">+(5+F106+(2*(I106+K106)))*H106</f>
        <v>14.337623874710742</v>
      </c>
      <c r="Q106" s="147">
        <f aca="true" t="shared" si="133" ref="Q106:Q113">SUM(M106:P106)</f>
        <v>14.566908531265288</v>
      </c>
      <c r="R106" s="147"/>
      <c r="S106" s="128">
        <f aca="true" t="shared" si="134" ref="S106:S113">IF(D$6=1,(PI()*(C106-(2*D106)+(2*G106))*L106*0.1*0.01*7.85*0.001/(S$16*S$17)),0)</f>
        <v>0.020834859219036047</v>
      </c>
      <c r="T106" s="128">
        <f aca="true" t="shared" si="135" ref="T106:T113">IF(D$6=1,(PI()*(C106-(0.5*D106))*(Q106)*0.1*0.01*7.85*0.001/(T$16*T$17)),0)</f>
        <v>0.0501666273291646</v>
      </c>
      <c r="U106" s="145">
        <f aca="true" t="shared" si="136" ref="U106:U113">IF(D$6=1,0,(PI()*(C106-(2*D106)+(2*G106))*L106*0.1*0.01*7.85*0.001/(U$16*U$17)))</f>
        <v>0</v>
      </c>
      <c r="V106" s="145">
        <f aca="true" t="shared" si="137" ref="V106:V113">IF(D$6=1,0,(PI()*(C106-(0.5*D106))*(Q106)*0.1*0.01*7.85*0.001/(V$16*V$17)))</f>
        <v>0</v>
      </c>
      <c r="W106" s="128">
        <f t="shared" si="94"/>
        <v>0</v>
      </c>
      <c r="X106" t="str">
        <f t="shared" si="91"/>
        <v>3,52,11</v>
      </c>
      <c r="Y106" s="151">
        <f t="shared" si="93"/>
        <v>0.020834859219036047</v>
      </c>
      <c r="Z106" s="151">
        <f t="shared" si="92"/>
        <v>0.0501666273291646</v>
      </c>
    </row>
    <row r="107" spans="1:26" ht="12.75">
      <c r="A107" s="141">
        <f>+'SMAW-SMAW'!A107</f>
        <v>90</v>
      </c>
      <c r="B107" s="142">
        <v>3.5</v>
      </c>
      <c r="C107" s="143">
        <v>101.6</v>
      </c>
      <c r="D107" s="143">
        <v>3.05</v>
      </c>
      <c r="E107" s="144" t="s">
        <v>84</v>
      </c>
      <c r="F107" s="145">
        <f t="shared" si="124"/>
        <v>2</v>
      </c>
      <c r="G107" s="145">
        <f t="shared" si="123"/>
        <v>2</v>
      </c>
      <c r="H107" s="145">
        <f t="shared" si="125"/>
        <v>2</v>
      </c>
      <c r="I107" s="146">
        <f t="shared" si="126"/>
        <v>0.8056933373779083</v>
      </c>
      <c r="J107" s="147"/>
      <c r="K107" s="145">
        <f t="shared" si="127"/>
        <v>0</v>
      </c>
      <c r="L107" s="145">
        <f t="shared" si="128"/>
        <v>6</v>
      </c>
      <c r="M107" s="145">
        <f t="shared" si="129"/>
        <v>2.0999999999999996</v>
      </c>
      <c r="N107" s="145">
        <f t="shared" si="130"/>
        <v>0.8459780042468036</v>
      </c>
      <c r="O107" s="145">
        <f t="shared" si="131"/>
        <v>0</v>
      </c>
      <c r="P107" s="145">
        <f t="shared" si="132"/>
        <v>17.222773349511634</v>
      </c>
      <c r="Q107" s="147">
        <f t="shared" si="133"/>
        <v>20.168751353758438</v>
      </c>
      <c r="R107" s="147"/>
      <c r="S107" s="128">
        <f t="shared" si="134"/>
        <v>0.020448495682522064</v>
      </c>
      <c r="T107" s="128">
        <f t="shared" si="135"/>
        <v>0.06913399337486179</v>
      </c>
      <c r="U107" s="145">
        <f t="shared" si="136"/>
        <v>0</v>
      </c>
      <c r="V107" s="145">
        <f t="shared" si="137"/>
        <v>0</v>
      </c>
      <c r="W107" s="128">
        <f t="shared" si="94"/>
        <v>0</v>
      </c>
      <c r="X107" t="str">
        <f t="shared" si="91"/>
        <v>3,53,05</v>
      </c>
      <c r="Y107" s="151">
        <f t="shared" si="93"/>
        <v>0.020448495682522064</v>
      </c>
      <c r="Z107" s="151">
        <f t="shared" si="92"/>
        <v>0.06913399337486179</v>
      </c>
    </row>
    <row r="108" spans="1:26" ht="12.75">
      <c r="A108" s="141">
        <f>+'SMAW-SMAW'!A108</f>
        <v>91</v>
      </c>
      <c r="B108" s="142">
        <v>3.5</v>
      </c>
      <c r="C108" s="143">
        <v>101.6</v>
      </c>
      <c r="D108" s="143">
        <v>5.74</v>
      </c>
      <c r="E108" s="144" t="s">
        <v>85</v>
      </c>
      <c r="F108" s="145">
        <f t="shared" si="124"/>
        <v>2</v>
      </c>
      <c r="G108" s="145">
        <f t="shared" si="123"/>
        <v>2</v>
      </c>
      <c r="H108" s="145">
        <f t="shared" si="125"/>
        <v>2</v>
      </c>
      <c r="I108" s="146">
        <f t="shared" si="126"/>
        <v>2.869802935041312</v>
      </c>
      <c r="J108" s="147"/>
      <c r="K108" s="145">
        <f t="shared" si="127"/>
        <v>0</v>
      </c>
      <c r="L108" s="145">
        <f t="shared" si="128"/>
        <v>6</v>
      </c>
      <c r="M108" s="145">
        <f t="shared" si="129"/>
        <v>7.48</v>
      </c>
      <c r="N108" s="145">
        <f t="shared" si="130"/>
        <v>10.733062977054507</v>
      </c>
      <c r="O108" s="145">
        <f t="shared" si="131"/>
        <v>0</v>
      </c>
      <c r="P108" s="145">
        <f t="shared" si="132"/>
        <v>25.479211740165248</v>
      </c>
      <c r="Q108" s="147">
        <f t="shared" si="133"/>
        <v>43.69227471721975</v>
      </c>
      <c r="R108" s="147"/>
      <c r="S108" s="128">
        <f t="shared" si="134"/>
        <v>0.019342838328029913</v>
      </c>
      <c r="T108" s="128">
        <f t="shared" si="135"/>
        <v>0.147754537105531</v>
      </c>
      <c r="U108" s="145">
        <f t="shared" si="136"/>
        <v>0</v>
      </c>
      <c r="V108" s="145">
        <f t="shared" si="137"/>
        <v>0</v>
      </c>
      <c r="W108" s="128">
        <f t="shared" si="94"/>
        <v>0</v>
      </c>
      <c r="X108" t="str">
        <f t="shared" si="91"/>
        <v>3,55,74</v>
      </c>
      <c r="Y108" s="151">
        <f t="shared" si="93"/>
        <v>0.019342838328029913</v>
      </c>
      <c r="Z108" s="151">
        <f t="shared" si="92"/>
        <v>0.147754537105531</v>
      </c>
    </row>
    <row r="109" spans="1:26" ht="12.75">
      <c r="A109" s="141">
        <f>+'SMAW-SMAW'!A109</f>
        <v>92</v>
      </c>
      <c r="B109" s="142">
        <v>3.5</v>
      </c>
      <c r="C109" s="143">
        <v>101.6</v>
      </c>
      <c r="D109" s="143">
        <v>5.74</v>
      </c>
      <c r="E109" s="144" t="s">
        <v>86</v>
      </c>
      <c r="F109" s="145">
        <f t="shared" si="124"/>
        <v>2</v>
      </c>
      <c r="G109" s="145">
        <f t="shared" si="123"/>
        <v>2</v>
      </c>
      <c r="H109" s="145">
        <f t="shared" si="125"/>
        <v>2</v>
      </c>
      <c r="I109" s="146">
        <f t="shared" si="126"/>
        <v>2.869802935041312</v>
      </c>
      <c r="J109" s="147"/>
      <c r="K109" s="145">
        <f t="shared" si="127"/>
        <v>0</v>
      </c>
      <c r="L109" s="145">
        <f t="shared" si="128"/>
        <v>6</v>
      </c>
      <c r="M109" s="145">
        <f t="shared" si="129"/>
        <v>7.48</v>
      </c>
      <c r="N109" s="145">
        <f t="shared" si="130"/>
        <v>10.733062977054507</v>
      </c>
      <c r="O109" s="145">
        <f t="shared" si="131"/>
        <v>0</v>
      </c>
      <c r="P109" s="145">
        <f t="shared" si="132"/>
        <v>25.479211740165248</v>
      </c>
      <c r="Q109" s="147">
        <f t="shared" si="133"/>
        <v>43.69227471721975</v>
      </c>
      <c r="R109" s="147"/>
      <c r="S109" s="128">
        <f t="shared" si="134"/>
        <v>0.019342838328029913</v>
      </c>
      <c r="T109" s="128">
        <f t="shared" si="135"/>
        <v>0.147754537105531</v>
      </c>
      <c r="U109" s="145">
        <f t="shared" si="136"/>
        <v>0</v>
      </c>
      <c r="V109" s="145">
        <f t="shared" si="137"/>
        <v>0</v>
      </c>
      <c r="W109" s="128">
        <f t="shared" si="94"/>
        <v>0</v>
      </c>
      <c r="X109" t="str">
        <f t="shared" si="91"/>
        <v>3,55,74</v>
      </c>
      <c r="Y109" s="151">
        <f t="shared" si="93"/>
        <v>0.019342838328029913</v>
      </c>
      <c r="Z109" s="151">
        <f t="shared" si="92"/>
        <v>0.147754537105531</v>
      </c>
    </row>
    <row r="110" spans="1:26" ht="12.75">
      <c r="A110" s="141">
        <f>+'SMAW-SMAW'!A110</f>
        <v>93</v>
      </c>
      <c r="B110" s="142">
        <v>3.5</v>
      </c>
      <c r="C110" s="143">
        <v>101.6</v>
      </c>
      <c r="D110" s="143">
        <v>5.74</v>
      </c>
      <c r="E110" s="144" t="s">
        <v>87</v>
      </c>
      <c r="F110" s="145">
        <f t="shared" si="124"/>
        <v>2</v>
      </c>
      <c r="G110" s="145">
        <f t="shared" si="123"/>
        <v>2</v>
      </c>
      <c r="H110" s="145">
        <f t="shared" si="125"/>
        <v>2</v>
      </c>
      <c r="I110" s="146">
        <f t="shared" si="126"/>
        <v>2.869802935041312</v>
      </c>
      <c r="J110" s="147"/>
      <c r="K110" s="145">
        <f t="shared" si="127"/>
        <v>0</v>
      </c>
      <c r="L110" s="145">
        <f t="shared" si="128"/>
        <v>6</v>
      </c>
      <c r="M110" s="145">
        <f t="shared" si="129"/>
        <v>7.48</v>
      </c>
      <c r="N110" s="145">
        <f t="shared" si="130"/>
        <v>10.733062977054507</v>
      </c>
      <c r="O110" s="145">
        <f t="shared" si="131"/>
        <v>0</v>
      </c>
      <c r="P110" s="145">
        <f t="shared" si="132"/>
        <v>25.479211740165248</v>
      </c>
      <c r="Q110" s="147">
        <f t="shared" si="133"/>
        <v>43.69227471721975</v>
      </c>
      <c r="R110" s="147"/>
      <c r="S110" s="128">
        <f t="shared" si="134"/>
        <v>0.019342838328029913</v>
      </c>
      <c r="T110" s="128">
        <f t="shared" si="135"/>
        <v>0.147754537105531</v>
      </c>
      <c r="U110" s="145">
        <f t="shared" si="136"/>
        <v>0</v>
      </c>
      <c r="V110" s="145">
        <f t="shared" si="137"/>
        <v>0</v>
      </c>
      <c r="W110" s="128">
        <f t="shared" si="94"/>
        <v>0</v>
      </c>
      <c r="X110" t="str">
        <f t="shared" si="91"/>
        <v>3,55,74</v>
      </c>
      <c r="Y110" s="151">
        <f t="shared" si="93"/>
        <v>0.019342838328029913</v>
      </c>
      <c r="Z110" s="151">
        <f t="shared" si="92"/>
        <v>0.147754537105531</v>
      </c>
    </row>
    <row r="111" spans="1:26" ht="12.75">
      <c r="A111" s="141">
        <f>+'SMAW-SMAW'!A111</f>
        <v>94</v>
      </c>
      <c r="B111" s="142">
        <v>3.5</v>
      </c>
      <c r="C111" s="143">
        <v>101.6</v>
      </c>
      <c r="D111" s="143">
        <v>8.08</v>
      </c>
      <c r="E111" s="144" t="s">
        <v>88</v>
      </c>
      <c r="F111" s="145">
        <f t="shared" si="124"/>
        <v>2</v>
      </c>
      <c r="G111" s="145">
        <f t="shared" si="123"/>
        <v>2</v>
      </c>
      <c r="H111" s="145">
        <f t="shared" si="125"/>
        <v>2</v>
      </c>
      <c r="I111" s="146">
        <f t="shared" si="126"/>
        <v>4.665348086912079</v>
      </c>
      <c r="J111" s="147"/>
      <c r="K111" s="145">
        <f t="shared" si="127"/>
        <v>0</v>
      </c>
      <c r="L111" s="145">
        <f t="shared" si="128"/>
        <v>6</v>
      </c>
      <c r="M111" s="145">
        <f t="shared" si="129"/>
        <v>12.16</v>
      </c>
      <c r="N111" s="145">
        <f t="shared" si="130"/>
        <v>28.365316368425443</v>
      </c>
      <c r="O111" s="145">
        <f t="shared" si="131"/>
        <v>0</v>
      </c>
      <c r="P111" s="145">
        <f t="shared" si="132"/>
        <v>32.66139234764832</v>
      </c>
      <c r="Q111" s="147">
        <f t="shared" si="133"/>
        <v>73.18670871607375</v>
      </c>
      <c r="R111" s="147"/>
      <c r="S111" s="128">
        <f t="shared" si="134"/>
        <v>0.018381039737133398</v>
      </c>
      <c r="T111" s="128">
        <f t="shared" si="135"/>
        <v>0.24456316241658077</v>
      </c>
      <c r="U111" s="145">
        <f t="shared" si="136"/>
        <v>0</v>
      </c>
      <c r="V111" s="145">
        <f t="shared" si="137"/>
        <v>0</v>
      </c>
      <c r="W111" s="128">
        <f t="shared" si="94"/>
        <v>0</v>
      </c>
      <c r="X111" t="str">
        <f t="shared" si="91"/>
        <v>3,58,08</v>
      </c>
      <c r="Y111" s="151">
        <f t="shared" si="93"/>
        <v>0.018381039737133398</v>
      </c>
      <c r="Z111" s="151">
        <f t="shared" si="92"/>
        <v>0.24456316241658077</v>
      </c>
    </row>
    <row r="112" spans="1:26" ht="12.75">
      <c r="A112" s="141">
        <f>+'SMAW-SMAW'!A112</f>
        <v>95</v>
      </c>
      <c r="B112" s="142">
        <v>3.5</v>
      </c>
      <c r="C112" s="143">
        <v>101.6</v>
      </c>
      <c r="D112" s="143">
        <v>8.08</v>
      </c>
      <c r="E112" s="144" t="s">
        <v>82</v>
      </c>
      <c r="F112" s="145">
        <f t="shared" si="124"/>
        <v>2</v>
      </c>
      <c r="G112" s="145">
        <f t="shared" si="123"/>
        <v>2</v>
      </c>
      <c r="H112" s="145">
        <f t="shared" si="125"/>
        <v>2</v>
      </c>
      <c r="I112" s="146">
        <f t="shared" si="126"/>
        <v>4.665348086912079</v>
      </c>
      <c r="J112" s="147"/>
      <c r="K112" s="145">
        <f t="shared" si="127"/>
        <v>0</v>
      </c>
      <c r="L112" s="145">
        <f t="shared" si="128"/>
        <v>6</v>
      </c>
      <c r="M112" s="145">
        <f t="shared" si="129"/>
        <v>12.16</v>
      </c>
      <c r="N112" s="145">
        <f t="shared" si="130"/>
        <v>28.365316368425443</v>
      </c>
      <c r="O112" s="145">
        <f t="shared" si="131"/>
        <v>0</v>
      </c>
      <c r="P112" s="145">
        <f t="shared" si="132"/>
        <v>32.66139234764832</v>
      </c>
      <c r="Q112" s="147">
        <f t="shared" si="133"/>
        <v>73.18670871607375</v>
      </c>
      <c r="R112" s="147"/>
      <c r="S112" s="128">
        <f t="shared" si="134"/>
        <v>0.018381039737133398</v>
      </c>
      <c r="T112" s="128">
        <f t="shared" si="135"/>
        <v>0.24456316241658077</v>
      </c>
      <c r="U112" s="145">
        <f t="shared" si="136"/>
        <v>0</v>
      </c>
      <c r="V112" s="145">
        <f t="shared" si="137"/>
        <v>0</v>
      </c>
      <c r="W112" s="128">
        <f t="shared" si="94"/>
        <v>0</v>
      </c>
      <c r="X112" t="str">
        <f t="shared" si="91"/>
        <v>3,58,08</v>
      </c>
      <c r="Y112" s="151">
        <f t="shared" si="93"/>
        <v>0.018381039737133398</v>
      </c>
      <c r="Z112" s="151">
        <f t="shared" si="92"/>
        <v>0.24456316241658077</v>
      </c>
    </row>
    <row r="113" spans="1:26" ht="12.75">
      <c r="A113" s="141">
        <f>+'SMAW-SMAW'!A113</f>
        <v>96</v>
      </c>
      <c r="B113" s="142">
        <v>3.5</v>
      </c>
      <c r="C113" s="143">
        <v>101.6</v>
      </c>
      <c r="D113" s="143">
        <v>8.08</v>
      </c>
      <c r="E113" s="144" t="s">
        <v>89</v>
      </c>
      <c r="F113" s="145">
        <f t="shared" si="124"/>
        <v>2</v>
      </c>
      <c r="G113" s="145">
        <f t="shared" si="123"/>
        <v>2</v>
      </c>
      <c r="H113" s="145">
        <f t="shared" si="125"/>
        <v>2</v>
      </c>
      <c r="I113" s="146">
        <f t="shared" si="126"/>
        <v>4.665348086912079</v>
      </c>
      <c r="J113" s="147"/>
      <c r="K113" s="145">
        <f t="shared" si="127"/>
        <v>0</v>
      </c>
      <c r="L113" s="145">
        <f t="shared" si="128"/>
        <v>6</v>
      </c>
      <c r="M113" s="145">
        <f t="shared" si="129"/>
        <v>12.16</v>
      </c>
      <c r="N113" s="145">
        <f t="shared" si="130"/>
        <v>28.365316368425443</v>
      </c>
      <c r="O113" s="145">
        <f t="shared" si="131"/>
        <v>0</v>
      </c>
      <c r="P113" s="145">
        <f t="shared" si="132"/>
        <v>32.66139234764832</v>
      </c>
      <c r="Q113" s="147">
        <f t="shared" si="133"/>
        <v>73.18670871607375</v>
      </c>
      <c r="R113" s="147"/>
      <c r="S113" s="128">
        <f t="shared" si="134"/>
        <v>0.018381039737133398</v>
      </c>
      <c r="T113" s="128">
        <f t="shared" si="135"/>
        <v>0.24456316241658077</v>
      </c>
      <c r="U113" s="145">
        <f t="shared" si="136"/>
        <v>0</v>
      </c>
      <c r="V113" s="145">
        <f t="shared" si="137"/>
        <v>0</v>
      </c>
      <c r="W113" s="128">
        <f t="shared" si="94"/>
        <v>0</v>
      </c>
      <c r="X113" t="str">
        <f t="shared" si="91"/>
        <v>3,58,08</v>
      </c>
      <c r="Y113" s="151">
        <f t="shared" si="93"/>
        <v>0.018381039737133398</v>
      </c>
      <c r="Z113" s="151">
        <f t="shared" si="92"/>
        <v>0.24456316241658077</v>
      </c>
    </row>
    <row r="114" spans="1:26" ht="12.75">
      <c r="A114" s="141">
        <f>+'SMAW-SMAW'!A114</f>
        <v>97</v>
      </c>
      <c r="B114" s="142"/>
      <c r="C114" s="143"/>
      <c r="D114" s="143"/>
      <c r="E114" s="144"/>
      <c r="F114" s="145"/>
      <c r="G114" s="145">
        <f t="shared" si="123"/>
        <v>0</v>
      </c>
      <c r="H114" s="145"/>
      <c r="I114" s="146"/>
      <c r="J114" s="147"/>
      <c r="K114" s="145"/>
      <c r="L114" s="145"/>
      <c r="M114" s="145"/>
      <c r="N114" s="145"/>
      <c r="O114" s="145"/>
      <c r="P114" s="145"/>
      <c r="Q114" s="147"/>
      <c r="R114" s="147"/>
      <c r="S114" s="128"/>
      <c r="T114" s="128"/>
      <c r="U114" s="145"/>
      <c r="V114" s="145"/>
      <c r="W114" s="128">
        <f t="shared" si="94"/>
        <v>0</v>
      </c>
      <c r="X114">
        <f t="shared" si="91"/>
      </c>
      <c r="Y114" s="151">
        <f t="shared" si="93"/>
        <v>0</v>
      </c>
      <c r="Z114" s="151">
        <f t="shared" si="92"/>
        <v>0</v>
      </c>
    </row>
    <row r="115" spans="1:26" ht="12.75">
      <c r="A115" s="141">
        <f>+'SMAW-SMAW'!A115</f>
        <v>98</v>
      </c>
      <c r="B115" s="142">
        <v>4</v>
      </c>
      <c r="C115" s="143">
        <v>114.3</v>
      </c>
      <c r="D115" s="143">
        <v>2.11</v>
      </c>
      <c r="E115" s="144" t="s">
        <v>81</v>
      </c>
      <c r="F115" s="145">
        <f aca="true" t="shared" si="138" ref="F115:F125">IF($D$6=1,2,3)</f>
        <v>2</v>
      </c>
      <c r="G115" s="145">
        <f t="shared" si="123"/>
        <v>2</v>
      </c>
      <c r="H115" s="145">
        <f aca="true" t="shared" si="139" ref="H115:H125">IF(D115&lt;=19,2,3)</f>
        <v>2</v>
      </c>
      <c r="I115" s="146">
        <f aca="true" t="shared" si="140" ref="I115:I125">IF(D115&lt;=19,(D115-G115)*TAN($C$8*PI()/180),(19-G115)*TAN($C$8*PI()/180))</f>
        <v>0.08440596867768554</v>
      </c>
      <c r="J115" s="147"/>
      <c r="K115" s="145">
        <f aca="true" t="shared" si="141" ref="K115:K125">IF(D115&lt;=19,0,(D115-19)*TAN($C$10*PI()/180))</f>
        <v>0</v>
      </c>
      <c r="L115" s="145">
        <f aca="true" t="shared" si="142" ref="L115:L125">+F115*(G115*1.5)</f>
        <v>6</v>
      </c>
      <c r="M115" s="145">
        <f aca="true" t="shared" si="143" ref="M115:M125">+F115*(D115-G115)</f>
        <v>0.21999999999999975</v>
      </c>
      <c r="N115" s="145">
        <f aca="true" t="shared" si="144" ref="N115:N125">IF(D115&lt;=19,(D115-G115)*I115,(19-G115)*I115)</f>
        <v>0.0092846565545454</v>
      </c>
      <c r="O115" s="145">
        <f aca="true" t="shared" si="145" ref="O115:O125">IF(D115&lt;=19,0,(I115*(D115-19)*2)+((K115)*(D115-19)))</f>
        <v>0</v>
      </c>
      <c r="P115" s="145">
        <f aca="true" t="shared" si="146" ref="P115:P125">+(5+F115+(2*(I115+K115)))*H115</f>
        <v>14.337623874710742</v>
      </c>
      <c r="Q115" s="147">
        <f aca="true" t="shared" si="147" ref="Q115:Q125">SUM(M115:P115)</f>
        <v>14.566908531265288</v>
      </c>
      <c r="R115" s="147"/>
      <c r="S115" s="128">
        <f aca="true" t="shared" si="148" ref="S115:S125">IF(D$6=1,(PI()*(C115-(2*D115)+(2*G115))*L115*0.1*0.01*7.85*0.001/(S$16*S$17)),0)</f>
        <v>0.023444868215699667</v>
      </c>
      <c r="T115" s="128">
        <f aca="true" t="shared" si="149" ref="T115:T125">IF(D$6=1,(PI()*(C115-(0.5*D115))*(Q115)*0.1*0.01*7.85*0.001/(T$16*T$17)),0)</f>
        <v>0.056503254382527665</v>
      </c>
      <c r="U115" s="145">
        <f aca="true" t="shared" si="150" ref="U115:U125">IF(D$6=1,0,(PI()*(C115-(2*D115)+(2*G115))*L115*0.1*0.01*7.85*0.001/(U$16*U$17)))</f>
        <v>0</v>
      </c>
      <c r="V115" s="145">
        <f aca="true" t="shared" si="151" ref="V115:V125">IF(D$6=1,0,(PI()*(C115-(0.5*D115))*(Q115)*0.1*0.01*7.85*0.001/(V$16*V$17)))</f>
        <v>0</v>
      </c>
      <c r="W115" s="128">
        <f t="shared" si="94"/>
        <v>0</v>
      </c>
      <c r="X115" t="str">
        <f t="shared" si="91"/>
        <v>42,11</v>
      </c>
      <c r="Y115" s="151">
        <f t="shared" si="93"/>
        <v>0.023444868215699667</v>
      </c>
      <c r="Z115" s="151">
        <f t="shared" si="92"/>
        <v>0.056503254382527665</v>
      </c>
    </row>
    <row r="116" spans="1:26" ht="12.75">
      <c r="A116" s="141">
        <f>+'SMAW-SMAW'!A116</f>
        <v>99</v>
      </c>
      <c r="B116" s="142">
        <v>4</v>
      </c>
      <c r="C116" s="143">
        <v>114.3</v>
      </c>
      <c r="D116" s="143">
        <v>3.05</v>
      </c>
      <c r="E116" s="144" t="s">
        <v>84</v>
      </c>
      <c r="F116" s="145">
        <f t="shared" si="138"/>
        <v>2</v>
      </c>
      <c r="G116" s="145">
        <f t="shared" si="123"/>
        <v>2</v>
      </c>
      <c r="H116" s="145">
        <f t="shared" si="139"/>
        <v>2</v>
      </c>
      <c r="I116" s="146">
        <f t="shared" si="140"/>
        <v>0.8056933373779083</v>
      </c>
      <c r="J116" s="147"/>
      <c r="K116" s="145">
        <f t="shared" si="141"/>
        <v>0</v>
      </c>
      <c r="L116" s="145">
        <f t="shared" si="142"/>
        <v>6</v>
      </c>
      <c r="M116" s="145">
        <f t="shared" si="143"/>
        <v>2.0999999999999996</v>
      </c>
      <c r="N116" s="145">
        <f t="shared" si="144"/>
        <v>0.8459780042468036</v>
      </c>
      <c r="O116" s="145">
        <f t="shared" si="145"/>
        <v>0</v>
      </c>
      <c r="P116" s="145">
        <f t="shared" si="146"/>
        <v>17.222773349511634</v>
      </c>
      <c r="Q116" s="147">
        <f t="shared" si="147"/>
        <v>20.168751353758438</v>
      </c>
      <c r="R116" s="147"/>
      <c r="S116" s="128">
        <f t="shared" si="148"/>
        <v>0.023058504679185684</v>
      </c>
      <c r="T116" s="128">
        <f t="shared" si="149"/>
        <v>0.07790743045565862</v>
      </c>
      <c r="U116" s="145">
        <f t="shared" si="150"/>
        <v>0</v>
      </c>
      <c r="V116" s="145">
        <f t="shared" si="151"/>
        <v>0</v>
      </c>
      <c r="W116" s="128">
        <f t="shared" si="94"/>
        <v>0</v>
      </c>
      <c r="X116" t="str">
        <f t="shared" si="91"/>
        <v>43,05</v>
      </c>
      <c r="Y116" s="151">
        <f t="shared" si="93"/>
        <v>0.023058504679185684</v>
      </c>
      <c r="Z116" s="151">
        <f t="shared" si="92"/>
        <v>0.07790743045565862</v>
      </c>
    </row>
    <row r="117" spans="1:26" ht="12.75">
      <c r="A117" s="141">
        <f>+'SMAW-SMAW'!A117</f>
        <v>100</v>
      </c>
      <c r="B117" s="142">
        <v>4</v>
      </c>
      <c r="C117" s="143">
        <v>114.3</v>
      </c>
      <c r="D117" s="143">
        <v>6.02</v>
      </c>
      <c r="E117" s="144" t="s">
        <v>85</v>
      </c>
      <c r="F117" s="145">
        <f t="shared" si="138"/>
        <v>2</v>
      </c>
      <c r="G117" s="145">
        <f t="shared" si="123"/>
        <v>2</v>
      </c>
      <c r="H117" s="145">
        <f t="shared" si="139"/>
        <v>2</v>
      </c>
      <c r="I117" s="146">
        <f t="shared" si="140"/>
        <v>3.0846544916754204</v>
      </c>
      <c r="J117" s="147"/>
      <c r="K117" s="145">
        <f t="shared" si="141"/>
        <v>0</v>
      </c>
      <c r="L117" s="145">
        <f t="shared" si="142"/>
        <v>6</v>
      </c>
      <c r="M117" s="145">
        <f t="shared" si="143"/>
        <v>8.04</v>
      </c>
      <c r="N117" s="145">
        <f t="shared" si="144"/>
        <v>12.40031105653519</v>
      </c>
      <c r="O117" s="145">
        <f t="shared" si="145"/>
        <v>0</v>
      </c>
      <c r="P117" s="145">
        <f t="shared" si="146"/>
        <v>26.338617966701683</v>
      </c>
      <c r="Q117" s="147">
        <f t="shared" si="147"/>
        <v>46.77892902323687</v>
      </c>
      <c r="R117" s="147"/>
      <c r="S117" s="128">
        <f t="shared" si="148"/>
        <v>0.02183776031381703</v>
      </c>
      <c r="T117" s="128">
        <f t="shared" si="149"/>
        <v>0.17831728786841808</v>
      </c>
      <c r="U117" s="145">
        <f t="shared" si="150"/>
        <v>0</v>
      </c>
      <c r="V117" s="145">
        <f t="shared" si="151"/>
        <v>0</v>
      </c>
      <c r="W117" s="128">
        <f t="shared" si="94"/>
        <v>0</v>
      </c>
      <c r="X117" t="str">
        <f t="shared" si="91"/>
        <v>46,02</v>
      </c>
      <c r="Y117" s="151">
        <f t="shared" si="93"/>
        <v>0.02183776031381703</v>
      </c>
      <c r="Z117" s="151">
        <f t="shared" si="92"/>
        <v>0.17831728786841808</v>
      </c>
    </row>
    <row r="118" spans="1:26" ht="12.75">
      <c r="A118" s="141">
        <f>+'SMAW-SMAW'!A118</f>
        <v>101</v>
      </c>
      <c r="B118" s="142">
        <v>4</v>
      </c>
      <c r="C118" s="143">
        <v>114.3</v>
      </c>
      <c r="D118" s="143">
        <v>6.02</v>
      </c>
      <c r="E118" s="144" t="s">
        <v>86</v>
      </c>
      <c r="F118" s="145">
        <f t="shared" si="138"/>
        <v>2</v>
      </c>
      <c r="G118" s="145">
        <f t="shared" si="123"/>
        <v>2</v>
      </c>
      <c r="H118" s="145">
        <f t="shared" si="139"/>
        <v>2</v>
      </c>
      <c r="I118" s="146">
        <f t="shared" si="140"/>
        <v>3.0846544916754204</v>
      </c>
      <c r="J118" s="147"/>
      <c r="K118" s="145">
        <f t="shared" si="141"/>
        <v>0</v>
      </c>
      <c r="L118" s="145">
        <f t="shared" si="142"/>
        <v>6</v>
      </c>
      <c r="M118" s="145">
        <f t="shared" si="143"/>
        <v>8.04</v>
      </c>
      <c r="N118" s="145">
        <f t="shared" si="144"/>
        <v>12.40031105653519</v>
      </c>
      <c r="O118" s="145">
        <f t="shared" si="145"/>
        <v>0</v>
      </c>
      <c r="P118" s="145">
        <f t="shared" si="146"/>
        <v>26.338617966701683</v>
      </c>
      <c r="Q118" s="147">
        <f t="shared" si="147"/>
        <v>46.77892902323687</v>
      </c>
      <c r="R118" s="147"/>
      <c r="S118" s="128">
        <f t="shared" si="148"/>
        <v>0.02183776031381703</v>
      </c>
      <c r="T118" s="128">
        <f t="shared" si="149"/>
        <v>0.17831728786841808</v>
      </c>
      <c r="U118" s="145">
        <f t="shared" si="150"/>
        <v>0</v>
      </c>
      <c r="V118" s="145">
        <f t="shared" si="151"/>
        <v>0</v>
      </c>
      <c r="W118" s="128">
        <f t="shared" si="94"/>
        <v>0</v>
      </c>
      <c r="X118" t="str">
        <f t="shared" si="91"/>
        <v>46,02</v>
      </c>
      <c r="Y118" s="151">
        <f t="shared" si="93"/>
        <v>0.02183776031381703</v>
      </c>
      <c r="Z118" s="151">
        <f t="shared" si="92"/>
        <v>0.17831728786841808</v>
      </c>
    </row>
    <row r="119" spans="1:26" ht="12.75">
      <c r="A119" s="141">
        <f>+'SMAW-SMAW'!A119</f>
        <v>102</v>
      </c>
      <c r="B119" s="142">
        <v>4</v>
      </c>
      <c r="C119" s="143">
        <v>114.3</v>
      </c>
      <c r="D119" s="143">
        <v>6.02</v>
      </c>
      <c r="E119" s="144" t="s">
        <v>87</v>
      </c>
      <c r="F119" s="145">
        <f t="shared" si="138"/>
        <v>2</v>
      </c>
      <c r="G119" s="145">
        <f t="shared" si="123"/>
        <v>2</v>
      </c>
      <c r="H119" s="145">
        <f t="shared" si="139"/>
        <v>2</v>
      </c>
      <c r="I119" s="146">
        <f t="shared" si="140"/>
        <v>3.0846544916754204</v>
      </c>
      <c r="J119" s="147"/>
      <c r="K119" s="145">
        <f t="shared" si="141"/>
        <v>0</v>
      </c>
      <c r="L119" s="145">
        <f t="shared" si="142"/>
        <v>6</v>
      </c>
      <c r="M119" s="145">
        <f t="shared" si="143"/>
        <v>8.04</v>
      </c>
      <c r="N119" s="145">
        <f t="shared" si="144"/>
        <v>12.40031105653519</v>
      </c>
      <c r="O119" s="145">
        <f t="shared" si="145"/>
        <v>0</v>
      </c>
      <c r="P119" s="145">
        <f t="shared" si="146"/>
        <v>26.338617966701683</v>
      </c>
      <c r="Q119" s="147">
        <f t="shared" si="147"/>
        <v>46.77892902323687</v>
      </c>
      <c r="R119" s="147"/>
      <c r="S119" s="128">
        <f t="shared" si="148"/>
        <v>0.02183776031381703</v>
      </c>
      <c r="T119" s="128">
        <f t="shared" si="149"/>
        <v>0.17831728786841808</v>
      </c>
      <c r="U119" s="145">
        <f t="shared" si="150"/>
        <v>0</v>
      </c>
      <c r="V119" s="145">
        <f t="shared" si="151"/>
        <v>0</v>
      </c>
      <c r="W119" s="128">
        <f t="shared" si="94"/>
        <v>0</v>
      </c>
      <c r="X119" t="str">
        <f t="shared" si="91"/>
        <v>46,02</v>
      </c>
      <c r="Y119" s="151">
        <f t="shared" si="93"/>
        <v>0.02183776031381703</v>
      </c>
      <c r="Z119" s="151">
        <f t="shared" si="92"/>
        <v>0.17831728786841808</v>
      </c>
    </row>
    <row r="120" spans="1:26" ht="12.75">
      <c r="A120" s="141">
        <f>+'SMAW-SMAW'!A120</f>
        <v>103</v>
      </c>
      <c r="B120" s="142">
        <v>4</v>
      </c>
      <c r="C120" s="143">
        <v>114.3</v>
      </c>
      <c r="D120" s="143">
        <v>8.56</v>
      </c>
      <c r="E120" s="144" t="s">
        <v>88</v>
      </c>
      <c r="F120" s="145">
        <f t="shared" si="138"/>
        <v>2</v>
      </c>
      <c r="G120" s="145">
        <f t="shared" si="123"/>
        <v>2</v>
      </c>
      <c r="H120" s="145">
        <f t="shared" si="139"/>
        <v>2</v>
      </c>
      <c r="I120" s="146">
        <f t="shared" si="140"/>
        <v>5.0336650411419805</v>
      </c>
      <c r="J120" s="147"/>
      <c r="K120" s="145">
        <f t="shared" si="141"/>
        <v>0</v>
      </c>
      <c r="L120" s="145">
        <f t="shared" si="142"/>
        <v>6</v>
      </c>
      <c r="M120" s="145">
        <f t="shared" si="143"/>
        <v>13.120000000000001</v>
      </c>
      <c r="N120" s="145">
        <f t="shared" si="144"/>
        <v>33.020842669891394</v>
      </c>
      <c r="O120" s="145">
        <f t="shared" si="145"/>
        <v>0</v>
      </c>
      <c r="P120" s="145">
        <f t="shared" si="146"/>
        <v>34.13466016456792</v>
      </c>
      <c r="Q120" s="147">
        <f t="shared" si="147"/>
        <v>80.27550283445932</v>
      </c>
      <c r="R120" s="147"/>
      <c r="S120" s="128">
        <f t="shared" si="148"/>
        <v>0.02079375671515158</v>
      </c>
      <c r="T120" s="128">
        <f t="shared" si="149"/>
        <v>0.3025113740518637</v>
      </c>
      <c r="U120" s="145">
        <f t="shared" si="150"/>
        <v>0</v>
      </c>
      <c r="V120" s="145">
        <f t="shared" si="151"/>
        <v>0</v>
      </c>
      <c r="W120" s="128">
        <f t="shared" si="94"/>
        <v>0</v>
      </c>
      <c r="X120" t="str">
        <f t="shared" si="91"/>
        <v>48,56</v>
      </c>
      <c r="Y120" s="151">
        <f t="shared" si="93"/>
        <v>0.02079375671515158</v>
      </c>
      <c r="Z120" s="151">
        <f t="shared" si="92"/>
        <v>0.3025113740518637</v>
      </c>
    </row>
    <row r="121" spans="1:26" ht="12.75">
      <c r="A121" s="141">
        <f>+'SMAW-SMAW'!A121</f>
        <v>104</v>
      </c>
      <c r="B121" s="142">
        <v>4</v>
      </c>
      <c r="C121" s="143">
        <v>114.3</v>
      </c>
      <c r="D121" s="143">
        <v>8.56</v>
      </c>
      <c r="E121" s="144" t="s">
        <v>82</v>
      </c>
      <c r="F121" s="145">
        <f t="shared" si="138"/>
        <v>2</v>
      </c>
      <c r="G121" s="145">
        <f t="shared" si="123"/>
        <v>2</v>
      </c>
      <c r="H121" s="145">
        <f t="shared" si="139"/>
        <v>2</v>
      </c>
      <c r="I121" s="146">
        <f t="shared" si="140"/>
        <v>5.0336650411419805</v>
      </c>
      <c r="J121" s="147"/>
      <c r="K121" s="145">
        <f t="shared" si="141"/>
        <v>0</v>
      </c>
      <c r="L121" s="145">
        <f t="shared" si="142"/>
        <v>6</v>
      </c>
      <c r="M121" s="145">
        <f t="shared" si="143"/>
        <v>13.120000000000001</v>
      </c>
      <c r="N121" s="145">
        <f t="shared" si="144"/>
        <v>33.020842669891394</v>
      </c>
      <c r="O121" s="145">
        <f t="shared" si="145"/>
        <v>0</v>
      </c>
      <c r="P121" s="145">
        <f t="shared" si="146"/>
        <v>34.13466016456792</v>
      </c>
      <c r="Q121" s="147">
        <f t="shared" si="147"/>
        <v>80.27550283445932</v>
      </c>
      <c r="R121" s="147"/>
      <c r="S121" s="128">
        <f t="shared" si="148"/>
        <v>0.02079375671515158</v>
      </c>
      <c r="T121" s="128">
        <f t="shared" si="149"/>
        <v>0.3025113740518637</v>
      </c>
      <c r="U121" s="145">
        <f t="shared" si="150"/>
        <v>0</v>
      </c>
      <c r="V121" s="145">
        <f t="shared" si="151"/>
        <v>0</v>
      </c>
      <c r="W121" s="128">
        <f t="shared" si="94"/>
        <v>0</v>
      </c>
      <c r="X121" t="str">
        <f t="shared" si="91"/>
        <v>48,56</v>
      </c>
      <c r="Y121" s="151">
        <f t="shared" si="93"/>
        <v>0.02079375671515158</v>
      </c>
      <c r="Z121" s="151">
        <f t="shared" si="92"/>
        <v>0.3025113740518637</v>
      </c>
    </row>
    <row r="122" spans="1:26" ht="12.75">
      <c r="A122" s="141">
        <f>+'SMAW-SMAW'!A122</f>
        <v>105</v>
      </c>
      <c r="B122" s="142">
        <v>4</v>
      </c>
      <c r="C122" s="143">
        <v>114.3</v>
      </c>
      <c r="D122" s="143">
        <v>8.56</v>
      </c>
      <c r="E122" s="144" t="s">
        <v>89</v>
      </c>
      <c r="F122" s="145">
        <f t="shared" si="138"/>
        <v>2</v>
      </c>
      <c r="G122" s="145">
        <f t="shared" si="123"/>
        <v>2</v>
      </c>
      <c r="H122" s="145">
        <f t="shared" si="139"/>
        <v>2</v>
      </c>
      <c r="I122" s="146">
        <f t="shared" si="140"/>
        <v>5.0336650411419805</v>
      </c>
      <c r="J122" s="147"/>
      <c r="K122" s="145">
        <f t="shared" si="141"/>
        <v>0</v>
      </c>
      <c r="L122" s="145">
        <f t="shared" si="142"/>
        <v>6</v>
      </c>
      <c r="M122" s="145">
        <f t="shared" si="143"/>
        <v>13.120000000000001</v>
      </c>
      <c r="N122" s="145">
        <f t="shared" si="144"/>
        <v>33.020842669891394</v>
      </c>
      <c r="O122" s="145">
        <f t="shared" si="145"/>
        <v>0</v>
      </c>
      <c r="P122" s="145">
        <f t="shared" si="146"/>
        <v>34.13466016456792</v>
      </c>
      <c r="Q122" s="147">
        <f t="shared" si="147"/>
        <v>80.27550283445932</v>
      </c>
      <c r="R122" s="147"/>
      <c r="S122" s="128">
        <f t="shared" si="148"/>
        <v>0.02079375671515158</v>
      </c>
      <c r="T122" s="128">
        <f t="shared" si="149"/>
        <v>0.3025113740518637</v>
      </c>
      <c r="U122" s="145">
        <f t="shared" si="150"/>
        <v>0</v>
      </c>
      <c r="V122" s="145">
        <f t="shared" si="151"/>
        <v>0</v>
      </c>
      <c r="W122" s="128">
        <f t="shared" si="94"/>
        <v>0</v>
      </c>
      <c r="X122" t="str">
        <f t="shared" si="91"/>
        <v>48,56</v>
      </c>
      <c r="Y122" s="151">
        <f t="shared" si="93"/>
        <v>0.02079375671515158</v>
      </c>
      <c r="Z122" s="151">
        <f t="shared" si="92"/>
        <v>0.3025113740518637</v>
      </c>
    </row>
    <row r="123" spans="1:26" ht="12.75">
      <c r="A123" s="141">
        <f>+'SMAW-SMAW'!A123</f>
        <v>106</v>
      </c>
      <c r="B123" s="142">
        <v>4</v>
      </c>
      <c r="C123" s="143">
        <v>114.3</v>
      </c>
      <c r="D123" s="143">
        <v>11.13</v>
      </c>
      <c r="E123" s="144" t="s">
        <v>91</v>
      </c>
      <c r="F123" s="145">
        <f t="shared" si="138"/>
        <v>2</v>
      </c>
      <c r="G123" s="145">
        <f t="shared" si="123"/>
        <v>2</v>
      </c>
      <c r="H123" s="145">
        <f t="shared" si="139"/>
        <v>2</v>
      </c>
      <c r="I123" s="146">
        <f t="shared" si="140"/>
        <v>7.005695400247909</v>
      </c>
      <c r="J123" s="147"/>
      <c r="K123" s="145">
        <f t="shared" si="141"/>
        <v>0</v>
      </c>
      <c r="L123" s="145">
        <f t="shared" si="142"/>
        <v>6</v>
      </c>
      <c r="M123" s="145">
        <f t="shared" si="143"/>
        <v>18.26</v>
      </c>
      <c r="N123" s="145">
        <f t="shared" si="144"/>
        <v>63.96199900426341</v>
      </c>
      <c r="O123" s="145">
        <f t="shared" si="145"/>
        <v>0</v>
      </c>
      <c r="P123" s="145">
        <f t="shared" si="146"/>
        <v>42.022781600991635</v>
      </c>
      <c r="Q123" s="147">
        <f t="shared" si="147"/>
        <v>124.24478060525504</v>
      </c>
      <c r="R123" s="147"/>
      <c r="S123" s="128">
        <f t="shared" si="148"/>
        <v>0.01973742236532079</v>
      </c>
      <c r="T123" s="128">
        <f t="shared" si="149"/>
        <v>0.4627373395618854</v>
      </c>
      <c r="U123" s="145">
        <f t="shared" si="150"/>
        <v>0</v>
      </c>
      <c r="V123" s="145">
        <f t="shared" si="151"/>
        <v>0</v>
      </c>
      <c r="W123" s="128">
        <f t="shared" si="94"/>
        <v>0</v>
      </c>
      <c r="X123" t="str">
        <f t="shared" si="91"/>
        <v>411,13</v>
      </c>
      <c r="Y123" s="151">
        <f t="shared" si="93"/>
        <v>0.01973742236532079</v>
      </c>
      <c r="Z123" s="151">
        <f t="shared" si="92"/>
        <v>0.4627373395618854</v>
      </c>
    </row>
    <row r="124" spans="1:26" ht="12.75">
      <c r="A124" s="141">
        <f>+'SMAW-SMAW'!A124</f>
        <v>107</v>
      </c>
      <c r="B124" s="142">
        <v>4</v>
      </c>
      <c r="C124" s="143">
        <v>114.3</v>
      </c>
      <c r="D124" s="143">
        <v>13.49</v>
      </c>
      <c r="E124" s="144" t="s">
        <v>90</v>
      </c>
      <c r="F124" s="145">
        <f t="shared" si="138"/>
        <v>2</v>
      </c>
      <c r="G124" s="145">
        <f t="shared" si="123"/>
        <v>2</v>
      </c>
      <c r="H124" s="145">
        <f t="shared" si="139"/>
        <v>2</v>
      </c>
      <c r="I124" s="146">
        <f t="shared" si="140"/>
        <v>8.816587091878255</v>
      </c>
      <c r="J124" s="147"/>
      <c r="K124" s="145">
        <f t="shared" si="141"/>
        <v>0</v>
      </c>
      <c r="L124" s="145">
        <f t="shared" si="142"/>
        <v>6</v>
      </c>
      <c r="M124" s="145">
        <f t="shared" si="143"/>
        <v>22.98</v>
      </c>
      <c r="N124" s="145">
        <f t="shared" si="144"/>
        <v>101.30258568568115</v>
      </c>
      <c r="O124" s="145">
        <f t="shared" si="145"/>
        <v>0</v>
      </c>
      <c r="P124" s="145">
        <f t="shared" si="146"/>
        <v>49.26634836751302</v>
      </c>
      <c r="Q124" s="147">
        <f t="shared" si="147"/>
        <v>173.54893405319416</v>
      </c>
      <c r="R124" s="147"/>
      <c r="S124" s="128">
        <f t="shared" si="148"/>
        <v>0.01876740327364738</v>
      </c>
      <c r="T124" s="128">
        <f t="shared" si="149"/>
        <v>0.6393513524105203</v>
      </c>
      <c r="U124" s="145">
        <f t="shared" si="150"/>
        <v>0</v>
      </c>
      <c r="V124" s="145">
        <f t="shared" si="151"/>
        <v>0</v>
      </c>
      <c r="W124" s="128">
        <f t="shared" si="94"/>
        <v>0</v>
      </c>
      <c r="X124" t="str">
        <f t="shared" si="91"/>
        <v>413,49</v>
      </c>
      <c r="Y124" s="151">
        <f t="shared" si="93"/>
        <v>0.01876740327364738</v>
      </c>
      <c r="Z124" s="151">
        <f t="shared" si="92"/>
        <v>0.6393513524105203</v>
      </c>
    </row>
    <row r="125" spans="1:26" ht="12.75">
      <c r="A125" s="141">
        <f>+'SMAW-SMAW'!A125</f>
        <v>108</v>
      </c>
      <c r="B125" s="142">
        <v>4</v>
      </c>
      <c r="C125" s="143">
        <v>114.3</v>
      </c>
      <c r="D125" s="143">
        <v>17.121</v>
      </c>
      <c r="E125" s="144" t="s">
        <v>83</v>
      </c>
      <c r="F125" s="145">
        <f t="shared" si="138"/>
        <v>2</v>
      </c>
      <c r="G125" s="145">
        <f t="shared" si="123"/>
        <v>2</v>
      </c>
      <c r="H125" s="145">
        <f t="shared" si="139"/>
        <v>2</v>
      </c>
      <c r="I125" s="146">
        <f t="shared" si="140"/>
        <v>11.602751385229858</v>
      </c>
      <c r="J125" s="147"/>
      <c r="K125" s="145">
        <f t="shared" si="141"/>
        <v>0</v>
      </c>
      <c r="L125" s="145">
        <f t="shared" si="142"/>
        <v>6</v>
      </c>
      <c r="M125" s="145">
        <f t="shared" si="143"/>
        <v>30.241999999999997</v>
      </c>
      <c r="N125" s="145">
        <f t="shared" si="144"/>
        <v>175.44520369606067</v>
      </c>
      <c r="O125" s="145">
        <f t="shared" si="145"/>
        <v>0</v>
      </c>
      <c r="P125" s="145">
        <f t="shared" si="146"/>
        <v>60.41100554091943</v>
      </c>
      <c r="Q125" s="147">
        <f t="shared" si="147"/>
        <v>266.0982092369801</v>
      </c>
      <c r="R125" s="147"/>
      <c r="S125" s="128">
        <f t="shared" si="148"/>
        <v>0.017274971357602403</v>
      </c>
      <c r="T125" s="128">
        <f t="shared" si="149"/>
        <v>0.9637540971719157</v>
      </c>
      <c r="U125" s="145">
        <f t="shared" si="150"/>
        <v>0</v>
      </c>
      <c r="V125" s="145">
        <f t="shared" si="151"/>
        <v>0</v>
      </c>
      <c r="W125" s="128">
        <f t="shared" si="94"/>
        <v>0</v>
      </c>
      <c r="X125" t="str">
        <f t="shared" si="91"/>
        <v>417,121</v>
      </c>
      <c r="Y125" s="151">
        <f t="shared" si="93"/>
        <v>0.017274971357602403</v>
      </c>
      <c r="Z125" s="151">
        <f t="shared" si="92"/>
        <v>0.9637540971719157</v>
      </c>
    </row>
    <row r="126" spans="1:26" ht="12.75">
      <c r="A126" s="141">
        <f>+'SMAW-SMAW'!A126</f>
        <v>109</v>
      </c>
      <c r="B126" s="142"/>
      <c r="C126" s="143"/>
      <c r="D126" s="143"/>
      <c r="E126" s="144"/>
      <c r="F126" s="145"/>
      <c r="G126" s="145">
        <f t="shared" si="123"/>
        <v>0</v>
      </c>
      <c r="H126" s="145"/>
      <c r="I126" s="146"/>
      <c r="J126" s="147"/>
      <c r="K126" s="145"/>
      <c r="L126" s="145"/>
      <c r="M126" s="145"/>
      <c r="N126" s="145"/>
      <c r="O126" s="145"/>
      <c r="P126" s="145"/>
      <c r="Q126" s="147"/>
      <c r="R126" s="147"/>
      <c r="S126" s="128"/>
      <c r="T126" s="128"/>
      <c r="U126" s="145"/>
      <c r="V126" s="145"/>
      <c r="W126" s="128">
        <f t="shared" si="94"/>
        <v>0</v>
      </c>
      <c r="X126">
        <f t="shared" si="91"/>
      </c>
      <c r="Y126" s="151">
        <f t="shared" si="93"/>
        <v>0</v>
      </c>
      <c r="Z126" s="151">
        <f t="shared" si="92"/>
        <v>0</v>
      </c>
    </row>
    <row r="127" spans="1:26" ht="12.75">
      <c r="A127" s="141">
        <f>+'SMAW-SMAW'!A127</f>
        <v>110</v>
      </c>
      <c r="B127" s="142">
        <v>5</v>
      </c>
      <c r="C127" s="143">
        <v>141.3</v>
      </c>
      <c r="D127" s="143">
        <v>2.77</v>
      </c>
      <c r="E127" s="144" t="s">
        <v>81</v>
      </c>
      <c r="F127" s="145">
        <f aca="true" t="shared" si="152" ref="F127:F137">IF($D$6=1,2,3)</f>
        <v>2</v>
      </c>
      <c r="G127" s="145">
        <f t="shared" si="123"/>
        <v>2</v>
      </c>
      <c r="H127" s="145">
        <f aca="true" t="shared" si="153" ref="H127:H137">IF(D127&lt;=19,2,3)</f>
        <v>2</v>
      </c>
      <c r="I127" s="146">
        <f aca="true" t="shared" si="154" ref="I127:I137">IF(D127&lt;=19,(D127-G127)*TAN($C$8*PI()/180),(19-G127)*TAN($C$8*PI()/180))</f>
        <v>0.5908417807437994</v>
      </c>
      <c r="J127" s="147"/>
      <c r="K127" s="145">
        <f aca="true" t="shared" si="155" ref="K127:K137">IF(D127&lt;=19,0,(D127-19)*TAN($C$10*PI()/180))</f>
        <v>0</v>
      </c>
      <c r="L127" s="145">
        <f aca="true" t="shared" si="156" ref="L127:L137">+F127*(G127*1.5)</f>
        <v>6</v>
      </c>
      <c r="M127" s="145">
        <f aca="true" t="shared" si="157" ref="M127:M137">+F127*(D127-G127)</f>
        <v>1.54</v>
      </c>
      <c r="N127" s="145">
        <f aca="true" t="shared" si="158" ref="N127:N137">IF(D127&lt;=19,(D127-G127)*I127,(19-G127)*I127)</f>
        <v>0.45494817117272557</v>
      </c>
      <c r="O127" s="145">
        <f aca="true" t="shared" si="159" ref="O127:O137">IF(D127&lt;=19,0,(I127*(D127-19)*2)+((K127)*(D127-19)))</f>
        <v>0</v>
      </c>
      <c r="P127" s="145">
        <f aca="true" t="shared" si="160" ref="P127:P137">+(5+F127+(2*(I127+K127)))*H127</f>
        <v>16.3633671229752</v>
      </c>
      <c r="Q127" s="147">
        <f aca="true" t="shared" si="161" ref="Q127:Q137">SUM(M127:P127)</f>
        <v>18.358315294147925</v>
      </c>
      <c r="R127" s="147"/>
      <c r="S127" s="128">
        <f aca="true" t="shared" si="162" ref="S127:S137">IF(D$6=1,(PI()*(C127-(2*D127)+(2*G127))*L127*0.1*0.01*7.85*0.001/(S$16*S$17)),0)</f>
        <v>0.02872242971446516</v>
      </c>
      <c r="T127" s="128">
        <f aca="true" t="shared" si="163" ref="T127:T137">IF(D$6=1,(PI()*(C127-(0.5*D127))*(Q127)*0.1*0.01*7.85*0.001/(T$16*T$17)),0)</f>
        <v>0.08798003576242738</v>
      </c>
      <c r="U127" s="145">
        <f aca="true" t="shared" si="164" ref="U127:U137">IF(D$6=1,0,(PI()*(C127-(2*D127)+(2*G127))*L127*0.1*0.01*7.85*0.001/(U$16*U$17)))</f>
        <v>0</v>
      </c>
      <c r="V127" s="145">
        <f aca="true" t="shared" si="165" ref="V127:V137">IF(D$6=1,0,(PI()*(C127-(0.5*D127))*(Q127)*0.1*0.01*7.85*0.001/(V$16*V$17)))</f>
        <v>0</v>
      </c>
      <c r="W127" s="128">
        <f t="shared" si="94"/>
        <v>0</v>
      </c>
      <c r="X127" t="str">
        <f t="shared" si="91"/>
        <v>52,77</v>
      </c>
      <c r="Y127" s="151">
        <f t="shared" si="93"/>
        <v>0.02872242971446516</v>
      </c>
      <c r="Z127" s="151">
        <f t="shared" si="92"/>
        <v>0.08798003576242738</v>
      </c>
    </row>
    <row r="128" spans="1:26" ht="12.75">
      <c r="A128" s="141">
        <f>+'SMAW-SMAW'!A128</f>
        <v>111</v>
      </c>
      <c r="B128" s="142">
        <v>5</v>
      </c>
      <c r="C128" s="143">
        <v>141.3</v>
      </c>
      <c r="D128" s="143">
        <v>3.4</v>
      </c>
      <c r="E128" s="144" t="s">
        <v>84</v>
      </c>
      <c r="F128" s="145">
        <f t="shared" si="152"/>
        <v>2</v>
      </c>
      <c r="G128" s="145">
        <f t="shared" si="123"/>
        <v>2</v>
      </c>
      <c r="H128" s="145">
        <f t="shared" si="153"/>
        <v>2</v>
      </c>
      <c r="I128" s="146">
        <f t="shared" si="154"/>
        <v>1.0742577831705444</v>
      </c>
      <c r="J128" s="147"/>
      <c r="K128" s="145">
        <f t="shared" si="155"/>
        <v>0</v>
      </c>
      <c r="L128" s="145">
        <f t="shared" si="156"/>
        <v>6</v>
      </c>
      <c r="M128" s="145">
        <f t="shared" si="157"/>
        <v>2.8</v>
      </c>
      <c r="N128" s="145">
        <f t="shared" si="158"/>
        <v>1.503960896438762</v>
      </c>
      <c r="O128" s="145">
        <f t="shared" si="159"/>
        <v>0</v>
      </c>
      <c r="P128" s="145">
        <f t="shared" si="160"/>
        <v>18.29703113268218</v>
      </c>
      <c r="Q128" s="147">
        <f t="shared" si="161"/>
        <v>22.60099202912094</v>
      </c>
      <c r="R128" s="147"/>
      <c r="S128" s="128">
        <f t="shared" si="162"/>
        <v>0.028463483939993022</v>
      </c>
      <c r="T128" s="128">
        <f t="shared" si="163"/>
        <v>0.10806870652391298</v>
      </c>
      <c r="U128" s="145">
        <f t="shared" si="164"/>
        <v>0</v>
      </c>
      <c r="V128" s="145">
        <f t="shared" si="165"/>
        <v>0</v>
      </c>
      <c r="W128" s="128">
        <f t="shared" si="94"/>
        <v>0</v>
      </c>
      <c r="X128" t="str">
        <f t="shared" si="91"/>
        <v>53,4</v>
      </c>
      <c r="Y128" s="151">
        <f t="shared" si="93"/>
        <v>0.028463483939993022</v>
      </c>
      <c r="Z128" s="151">
        <f t="shared" si="92"/>
        <v>0.10806870652391298</v>
      </c>
    </row>
    <row r="129" spans="1:26" ht="12.75">
      <c r="A129" s="141">
        <f>+'SMAW-SMAW'!A129</f>
        <v>112</v>
      </c>
      <c r="B129" s="142">
        <v>5</v>
      </c>
      <c r="C129" s="143">
        <v>141.3</v>
      </c>
      <c r="D129" s="143">
        <v>6.55</v>
      </c>
      <c r="E129" s="144" t="s">
        <v>85</v>
      </c>
      <c r="F129" s="145">
        <f t="shared" si="152"/>
        <v>2</v>
      </c>
      <c r="G129" s="145">
        <f t="shared" si="123"/>
        <v>2</v>
      </c>
      <c r="H129" s="145">
        <f t="shared" si="153"/>
        <v>2</v>
      </c>
      <c r="I129" s="146">
        <f t="shared" si="154"/>
        <v>3.4913377953042697</v>
      </c>
      <c r="J129" s="147"/>
      <c r="K129" s="145">
        <f t="shared" si="155"/>
        <v>0</v>
      </c>
      <c r="L129" s="145">
        <f t="shared" si="156"/>
        <v>6</v>
      </c>
      <c r="M129" s="145">
        <f t="shared" si="157"/>
        <v>9.1</v>
      </c>
      <c r="N129" s="145">
        <f t="shared" si="158"/>
        <v>15.885586968634426</v>
      </c>
      <c r="O129" s="145">
        <f t="shared" si="159"/>
        <v>0</v>
      </c>
      <c r="P129" s="145">
        <f t="shared" si="160"/>
        <v>27.96535118121708</v>
      </c>
      <c r="Q129" s="147">
        <f t="shared" si="161"/>
        <v>52.95093814985151</v>
      </c>
      <c r="R129" s="147"/>
      <c r="S129" s="128">
        <f t="shared" si="162"/>
        <v>0.027168755067632333</v>
      </c>
      <c r="T129" s="128">
        <f t="shared" si="163"/>
        <v>0.25033319821683503</v>
      </c>
      <c r="U129" s="145">
        <f t="shared" si="164"/>
        <v>0</v>
      </c>
      <c r="V129" s="145">
        <f t="shared" si="165"/>
        <v>0</v>
      </c>
      <c r="W129" s="128">
        <f t="shared" si="94"/>
        <v>0</v>
      </c>
      <c r="X129" t="str">
        <f t="shared" si="91"/>
        <v>56,55</v>
      </c>
      <c r="Y129" s="151">
        <f t="shared" si="93"/>
        <v>0.027168755067632333</v>
      </c>
      <c r="Z129" s="151">
        <f t="shared" si="92"/>
        <v>0.25033319821683503</v>
      </c>
    </row>
    <row r="130" spans="1:26" ht="12.75">
      <c r="A130" s="141">
        <f>+'SMAW-SMAW'!A130</f>
        <v>113</v>
      </c>
      <c r="B130" s="142">
        <v>5</v>
      </c>
      <c r="C130" s="143">
        <v>141.3</v>
      </c>
      <c r="D130" s="143">
        <v>6.55</v>
      </c>
      <c r="E130" s="144" t="s">
        <v>86</v>
      </c>
      <c r="F130" s="145">
        <f t="shared" si="152"/>
        <v>2</v>
      </c>
      <c r="G130" s="145">
        <f t="shared" si="123"/>
        <v>2</v>
      </c>
      <c r="H130" s="145">
        <f t="shared" si="153"/>
        <v>2</v>
      </c>
      <c r="I130" s="146">
        <f t="shared" si="154"/>
        <v>3.4913377953042697</v>
      </c>
      <c r="J130" s="147"/>
      <c r="K130" s="145">
        <f t="shared" si="155"/>
        <v>0</v>
      </c>
      <c r="L130" s="145">
        <f t="shared" si="156"/>
        <v>6</v>
      </c>
      <c r="M130" s="145">
        <f t="shared" si="157"/>
        <v>9.1</v>
      </c>
      <c r="N130" s="145">
        <f t="shared" si="158"/>
        <v>15.885586968634426</v>
      </c>
      <c r="O130" s="145">
        <f t="shared" si="159"/>
        <v>0</v>
      </c>
      <c r="P130" s="145">
        <f t="shared" si="160"/>
        <v>27.96535118121708</v>
      </c>
      <c r="Q130" s="147">
        <f t="shared" si="161"/>
        <v>52.95093814985151</v>
      </c>
      <c r="R130" s="147"/>
      <c r="S130" s="128">
        <f t="shared" si="162"/>
        <v>0.027168755067632333</v>
      </c>
      <c r="T130" s="128">
        <f t="shared" si="163"/>
        <v>0.25033319821683503</v>
      </c>
      <c r="U130" s="145">
        <f t="shared" si="164"/>
        <v>0</v>
      </c>
      <c r="V130" s="145">
        <f t="shared" si="165"/>
        <v>0</v>
      </c>
      <c r="W130" s="128">
        <f t="shared" si="94"/>
        <v>0</v>
      </c>
      <c r="X130" t="str">
        <f t="shared" si="91"/>
        <v>56,55</v>
      </c>
      <c r="Y130" s="151">
        <f t="shared" si="93"/>
        <v>0.027168755067632333</v>
      </c>
      <c r="Z130" s="151">
        <f t="shared" si="92"/>
        <v>0.25033319821683503</v>
      </c>
    </row>
    <row r="131" spans="1:26" ht="12.75">
      <c r="A131" s="141">
        <f>+'SMAW-SMAW'!A131</f>
        <v>114</v>
      </c>
      <c r="B131" s="142">
        <v>5</v>
      </c>
      <c r="C131" s="143">
        <v>141.3</v>
      </c>
      <c r="D131" s="143">
        <v>6.55</v>
      </c>
      <c r="E131" s="144" t="s">
        <v>87</v>
      </c>
      <c r="F131" s="145">
        <f t="shared" si="152"/>
        <v>2</v>
      </c>
      <c r="G131" s="145">
        <f t="shared" si="123"/>
        <v>2</v>
      </c>
      <c r="H131" s="145">
        <f t="shared" si="153"/>
        <v>2</v>
      </c>
      <c r="I131" s="146">
        <f t="shared" si="154"/>
        <v>3.4913377953042697</v>
      </c>
      <c r="J131" s="147"/>
      <c r="K131" s="145">
        <f t="shared" si="155"/>
        <v>0</v>
      </c>
      <c r="L131" s="145">
        <f t="shared" si="156"/>
        <v>6</v>
      </c>
      <c r="M131" s="145">
        <f t="shared" si="157"/>
        <v>9.1</v>
      </c>
      <c r="N131" s="145">
        <f t="shared" si="158"/>
        <v>15.885586968634426</v>
      </c>
      <c r="O131" s="145">
        <f t="shared" si="159"/>
        <v>0</v>
      </c>
      <c r="P131" s="145">
        <f t="shared" si="160"/>
        <v>27.96535118121708</v>
      </c>
      <c r="Q131" s="147">
        <f t="shared" si="161"/>
        <v>52.95093814985151</v>
      </c>
      <c r="R131" s="147"/>
      <c r="S131" s="128">
        <f t="shared" si="162"/>
        <v>0.027168755067632333</v>
      </c>
      <c r="T131" s="128">
        <f t="shared" si="163"/>
        <v>0.25033319821683503</v>
      </c>
      <c r="U131" s="145">
        <f t="shared" si="164"/>
        <v>0</v>
      </c>
      <c r="V131" s="145">
        <f t="shared" si="165"/>
        <v>0</v>
      </c>
      <c r="W131" s="128">
        <f t="shared" si="94"/>
        <v>0</v>
      </c>
      <c r="X131" t="str">
        <f t="shared" si="91"/>
        <v>56,55</v>
      </c>
      <c r="Y131" s="151">
        <f t="shared" si="93"/>
        <v>0.027168755067632333</v>
      </c>
      <c r="Z131" s="151">
        <f t="shared" si="92"/>
        <v>0.25033319821683503</v>
      </c>
    </row>
    <row r="132" spans="1:26" ht="12.75">
      <c r="A132" s="141">
        <f>+'SMAW-SMAW'!A132</f>
        <v>115</v>
      </c>
      <c r="B132" s="142">
        <v>5</v>
      </c>
      <c r="C132" s="143">
        <v>141.3</v>
      </c>
      <c r="D132" s="143">
        <v>9.52</v>
      </c>
      <c r="E132" s="144" t="s">
        <v>88</v>
      </c>
      <c r="F132" s="145">
        <f t="shared" si="152"/>
        <v>2</v>
      </c>
      <c r="G132" s="145">
        <f t="shared" si="123"/>
        <v>2</v>
      </c>
      <c r="H132" s="145">
        <f t="shared" si="153"/>
        <v>2</v>
      </c>
      <c r="I132" s="146">
        <f t="shared" si="154"/>
        <v>5.770298949601782</v>
      </c>
      <c r="J132" s="147"/>
      <c r="K132" s="145">
        <f t="shared" si="155"/>
        <v>0</v>
      </c>
      <c r="L132" s="145">
        <f t="shared" si="156"/>
        <v>6</v>
      </c>
      <c r="M132" s="145">
        <f t="shared" si="157"/>
        <v>15.04</v>
      </c>
      <c r="N132" s="145">
        <f t="shared" si="158"/>
        <v>43.39264810100539</v>
      </c>
      <c r="O132" s="145">
        <f t="shared" si="159"/>
        <v>0</v>
      </c>
      <c r="P132" s="145">
        <f t="shared" si="160"/>
        <v>37.08119579840712</v>
      </c>
      <c r="Q132" s="147">
        <f t="shared" si="161"/>
        <v>95.5138438994125</v>
      </c>
      <c r="R132" s="147"/>
      <c r="S132" s="128">
        <f t="shared" si="162"/>
        <v>0.02594801070226368</v>
      </c>
      <c r="T132" s="128">
        <f t="shared" si="163"/>
        <v>0.44669722535115813</v>
      </c>
      <c r="U132" s="145">
        <f t="shared" si="164"/>
        <v>0</v>
      </c>
      <c r="V132" s="145">
        <f t="shared" si="165"/>
        <v>0</v>
      </c>
      <c r="W132" s="128">
        <f t="shared" si="94"/>
        <v>0</v>
      </c>
      <c r="X132" t="str">
        <f t="shared" si="91"/>
        <v>59,52</v>
      </c>
      <c r="Y132" s="151">
        <f t="shared" si="93"/>
        <v>0.02594801070226368</v>
      </c>
      <c r="Z132" s="151">
        <f t="shared" si="92"/>
        <v>0.44669722535115813</v>
      </c>
    </row>
    <row r="133" spans="1:26" ht="12.75">
      <c r="A133" s="141">
        <f>+'SMAW-SMAW'!A133</f>
        <v>116</v>
      </c>
      <c r="B133" s="142">
        <v>5</v>
      </c>
      <c r="C133" s="143">
        <v>141.3</v>
      </c>
      <c r="D133" s="143">
        <v>9.52</v>
      </c>
      <c r="E133" s="144" t="s">
        <v>82</v>
      </c>
      <c r="F133" s="145">
        <f t="shared" si="152"/>
        <v>2</v>
      </c>
      <c r="G133" s="145">
        <f t="shared" si="123"/>
        <v>2</v>
      </c>
      <c r="H133" s="145">
        <f t="shared" si="153"/>
        <v>2</v>
      </c>
      <c r="I133" s="146">
        <f t="shared" si="154"/>
        <v>5.770298949601782</v>
      </c>
      <c r="J133" s="147"/>
      <c r="K133" s="145">
        <f t="shared" si="155"/>
        <v>0</v>
      </c>
      <c r="L133" s="145">
        <f t="shared" si="156"/>
        <v>6</v>
      </c>
      <c r="M133" s="145">
        <f t="shared" si="157"/>
        <v>15.04</v>
      </c>
      <c r="N133" s="145">
        <f t="shared" si="158"/>
        <v>43.39264810100539</v>
      </c>
      <c r="O133" s="145">
        <f t="shared" si="159"/>
        <v>0</v>
      </c>
      <c r="P133" s="145">
        <f t="shared" si="160"/>
        <v>37.08119579840712</v>
      </c>
      <c r="Q133" s="147">
        <f t="shared" si="161"/>
        <v>95.5138438994125</v>
      </c>
      <c r="R133" s="147"/>
      <c r="S133" s="128">
        <f t="shared" si="162"/>
        <v>0.02594801070226368</v>
      </c>
      <c r="T133" s="128">
        <f t="shared" si="163"/>
        <v>0.44669722535115813</v>
      </c>
      <c r="U133" s="145">
        <f t="shared" si="164"/>
        <v>0</v>
      </c>
      <c r="V133" s="145">
        <f t="shared" si="165"/>
        <v>0</v>
      </c>
      <c r="W133" s="128">
        <f t="shared" si="94"/>
        <v>0</v>
      </c>
      <c r="X133" t="str">
        <f t="shared" si="91"/>
        <v>59,52</v>
      </c>
      <c r="Y133" s="151">
        <f t="shared" si="93"/>
        <v>0.02594801070226368</v>
      </c>
      <c r="Z133" s="151">
        <f t="shared" si="92"/>
        <v>0.44669722535115813</v>
      </c>
    </row>
    <row r="134" spans="1:26" ht="12.75">
      <c r="A134" s="141">
        <f>+'SMAW-SMAW'!A134</f>
        <v>117</v>
      </c>
      <c r="B134" s="142">
        <v>5</v>
      </c>
      <c r="C134" s="143">
        <v>141.3</v>
      </c>
      <c r="D134" s="143">
        <v>9.52</v>
      </c>
      <c r="E134" s="144" t="s">
        <v>89</v>
      </c>
      <c r="F134" s="145">
        <f t="shared" si="152"/>
        <v>2</v>
      </c>
      <c r="G134" s="145">
        <f t="shared" si="123"/>
        <v>2</v>
      </c>
      <c r="H134" s="145">
        <f t="shared" si="153"/>
        <v>2</v>
      </c>
      <c r="I134" s="146">
        <f t="shared" si="154"/>
        <v>5.770298949601782</v>
      </c>
      <c r="J134" s="147"/>
      <c r="K134" s="145">
        <f t="shared" si="155"/>
        <v>0</v>
      </c>
      <c r="L134" s="145">
        <f t="shared" si="156"/>
        <v>6</v>
      </c>
      <c r="M134" s="145">
        <f t="shared" si="157"/>
        <v>15.04</v>
      </c>
      <c r="N134" s="145">
        <f t="shared" si="158"/>
        <v>43.39264810100539</v>
      </c>
      <c r="O134" s="145">
        <f t="shared" si="159"/>
        <v>0</v>
      </c>
      <c r="P134" s="145">
        <f t="shared" si="160"/>
        <v>37.08119579840712</v>
      </c>
      <c r="Q134" s="147">
        <f t="shared" si="161"/>
        <v>95.5138438994125</v>
      </c>
      <c r="R134" s="147"/>
      <c r="S134" s="128">
        <f t="shared" si="162"/>
        <v>0.02594801070226368</v>
      </c>
      <c r="T134" s="128">
        <f t="shared" si="163"/>
        <v>0.44669722535115813</v>
      </c>
      <c r="U134" s="145">
        <f t="shared" si="164"/>
        <v>0</v>
      </c>
      <c r="V134" s="145">
        <f t="shared" si="165"/>
        <v>0</v>
      </c>
      <c r="W134" s="128">
        <f t="shared" si="94"/>
        <v>0</v>
      </c>
      <c r="X134" t="str">
        <f t="shared" si="91"/>
        <v>59,52</v>
      </c>
      <c r="Y134" s="151">
        <f t="shared" si="93"/>
        <v>0.02594801070226368</v>
      </c>
      <c r="Z134" s="151">
        <f t="shared" si="92"/>
        <v>0.44669722535115813</v>
      </c>
    </row>
    <row r="135" spans="1:26" ht="12.75">
      <c r="A135" s="141">
        <f>+'SMAW-SMAW'!A135</f>
        <v>118</v>
      </c>
      <c r="B135" s="142">
        <v>5</v>
      </c>
      <c r="C135" s="143">
        <v>141.3</v>
      </c>
      <c r="D135" s="143">
        <v>12.7</v>
      </c>
      <c r="E135" s="144" t="s">
        <v>91</v>
      </c>
      <c r="F135" s="145">
        <f t="shared" si="152"/>
        <v>2</v>
      </c>
      <c r="G135" s="145">
        <f t="shared" si="123"/>
        <v>2</v>
      </c>
      <c r="H135" s="145">
        <f t="shared" si="153"/>
        <v>2</v>
      </c>
      <c r="I135" s="146">
        <f t="shared" si="154"/>
        <v>8.210398771374875</v>
      </c>
      <c r="J135" s="147"/>
      <c r="K135" s="145">
        <f t="shared" si="155"/>
        <v>0</v>
      </c>
      <c r="L135" s="145">
        <f t="shared" si="156"/>
        <v>6</v>
      </c>
      <c r="M135" s="145">
        <f t="shared" si="157"/>
        <v>21.4</v>
      </c>
      <c r="N135" s="145">
        <f t="shared" si="158"/>
        <v>87.85126685371115</v>
      </c>
      <c r="O135" s="145">
        <f t="shared" si="159"/>
        <v>0</v>
      </c>
      <c r="P135" s="145">
        <f t="shared" si="160"/>
        <v>46.8415950854995</v>
      </c>
      <c r="Q135" s="147">
        <f t="shared" si="161"/>
        <v>156.09286193921065</v>
      </c>
      <c r="R135" s="147"/>
      <c r="S135" s="128">
        <f t="shared" si="162"/>
        <v>0.02464095107873764</v>
      </c>
      <c r="T135" s="128">
        <f t="shared" si="163"/>
        <v>0.7215110144108049</v>
      </c>
      <c r="U135" s="145">
        <f t="shared" si="164"/>
        <v>0</v>
      </c>
      <c r="V135" s="145">
        <f t="shared" si="165"/>
        <v>0</v>
      </c>
      <c r="W135" s="128">
        <f t="shared" si="94"/>
        <v>0</v>
      </c>
      <c r="X135" t="str">
        <f t="shared" si="91"/>
        <v>512,7</v>
      </c>
      <c r="Y135" s="151">
        <f t="shared" si="93"/>
        <v>0.02464095107873764</v>
      </c>
      <c r="Z135" s="151">
        <f t="shared" si="92"/>
        <v>0.7215110144108049</v>
      </c>
    </row>
    <row r="136" spans="1:26" ht="12.75">
      <c r="A136" s="141">
        <f>+'SMAW-SMAW'!A136</f>
        <v>119</v>
      </c>
      <c r="B136" s="142">
        <v>5</v>
      </c>
      <c r="C136" s="143">
        <v>141.3</v>
      </c>
      <c r="D136" s="143">
        <v>15.88</v>
      </c>
      <c r="E136" s="144" t="s">
        <v>90</v>
      </c>
      <c r="F136" s="145">
        <f t="shared" si="152"/>
        <v>2</v>
      </c>
      <c r="G136" s="145">
        <f t="shared" si="123"/>
        <v>2</v>
      </c>
      <c r="H136" s="145">
        <f t="shared" si="153"/>
        <v>2</v>
      </c>
      <c r="I136" s="146">
        <f t="shared" si="154"/>
        <v>10.65049859314797</v>
      </c>
      <c r="J136" s="147"/>
      <c r="K136" s="145">
        <f t="shared" si="155"/>
        <v>0</v>
      </c>
      <c r="L136" s="145">
        <f t="shared" si="156"/>
        <v>6</v>
      </c>
      <c r="M136" s="145">
        <f t="shared" si="157"/>
        <v>27.76</v>
      </c>
      <c r="N136" s="145">
        <f t="shared" si="158"/>
        <v>147.82892047289383</v>
      </c>
      <c r="O136" s="145">
        <f t="shared" si="159"/>
        <v>0</v>
      </c>
      <c r="P136" s="145">
        <f t="shared" si="160"/>
        <v>56.60199437259188</v>
      </c>
      <c r="Q136" s="147">
        <f t="shared" si="161"/>
        <v>232.1909148454857</v>
      </c>
      <c r="R136" s="147"/>
      <c r="S136" s="128">
        <f t="shared" si="162"/>
        <v>0.02333389145521161</v>
      </c>
      <c r="T136" s="128">
        <f t="shared" si="163"/>
        <v>1.0606151894411415</v>
      </c>
      <c r="U136" s="145">
        <f t="shared" si="164"/>
        <v>0</v>
      </c>
      <c r="V136" s="145">
        <f t="shared" si="165"/>
        <v>0</v>
      </c>
      <c r="W136" s="128">
        <f t="shared" si="94"/>
        <v>0</v>
      </c>
      <c r="X136" t="str">
        <f t="shared" si="91"/>
        <v>515,88</v>
      </c>
      <c r="Y136" s="151">
        <f t="shared" si="93"/>
        <v>0.02333389145521161</v>
      </c>
      <c r="Z136" s="151">
        <f t="shared" si="92"/>
        <v>1.0606151894411415</v>
      </c>
    </row>
    <row r="137" spans="1:26" ht="12.75">
      <c r="A137" s="141">
        <f>+'SMAW-SMAW'!A137</f>
        <v>120</v>
      </c>
      <c r="B137" s="142">
        <v>5</v>
      </c>
      <c r="C137" s="143">
        <v>141.3</v>
      </c>
      <c r="D137" s="143">
        <v>19.051</v>
      </c>
      <c r="E137" s="144" t="s">
        <v>83</v>
      </c>
      <c r="F137" s="145">
        <f t="shared" si="152"/>
        <v>2</v>
      </c>
      <c r="G137" s="145">
        <f aca="true" t="shared" si="166" ref="G137:G168">IF(D137&lt;2,D137,2)</f>
        <v>2</v>
      </c>
      <c r="H137" s="145">
        <f t="shared" si="153"/>
        <v>3</v>
      </c>
      <c r="I137" s="146">
        <f t="shared" si="154"/>
        <v>13.044558795642326</v>
      </c>
      <c r="J137" s="147"/>
      <c r="K137" s="145">
        <f t="shared" si="155"/>
        <v>0.008992676016131428</v>
      </c>
      <c r="L137" s="145">
        <f t="shared" si="156"/>
        <v>6</v>
      </c>
      <c r="M137" s="145">
        <f t="shared" si="157"/>
        <v>34.102</v>
      </c>
      <c r="N137" s="145">
        <f t="shared" si="158"/>
        <v>221.75749952591954</v>
      </c>
      <c r="O137" s="145">
        <f t="shared" si="159"/>
        <v>1.3310036236322977</v>
      </c>
      <c r="P137" s="145">
        <f t="shared" si="160"/>
        <v>99.32130882995075</v>
      </c>
      <c r="Q137" s="147">
        <f t="shared" si="161"/>
        <v>356.51181197950257</v>
      </c>
      <c r="R137" s="147"/>
      <c r="S137" s="128">
        <f t="shared" si="162"/>
        <v>0.022030531057035178</v>
      </c>
      <c r="T137" s="128">
        <f t="shared" si="163"/>
        <v>1.6091344528796614</v>
      </c>
      <c r="U137" s="145">
        <f t="shared" si="164"/>
        <v>0</v>
      </c>
      <c r="V137" s="145">
        <f t="shared" si="165"/>
        <v>0</v>
      </c>
      <c r="W137" s="128">
        <f t="shared" si="94"/>
        <v>0</v>
      </c>
      <c r="X137" t="str">
        <f t="shared" si="91"/>
        <v>519,051</v>
      </c>
      <c r="Y137" s="151">
        <f t="shared" si="93"/>
        <v>0.022030531057035178</v>
      </c>
      <c r="Z137" s="151">
        <f t="shared" si="92"/>
        <v>1.6091344528796614</v>
      </c>
    </row>
    <row r="138" spans="1:26" ht="12.75">
      <c r="A138" s="141">
        <f>+'SMAW-SMAW'!A138</f>
        <v>121</v>
      </c>
      <c r="B138" s="142"/>
      <c r="C138" s="143"/>
      <c r="D138" s="143"/>
      <c r="E138" s="144"/>
      <c r="F138" s="145"/>
      <c r="G138" s="145">
        <f t="shared" si="166"/>
        <v>0</v>
      </c>
      <c r="H138" s="145"/>
      <c r="I138" s="146"/>
      <c r="J138" s="147"/>
      <c r="K138" s="145"/>
      <c r="L138" s="145"/>
      <c r="M138" s="145"/>
      <c r="N138" s="145"/>
      <c r="O138" s="145"/>
      <c r="P138" s="145"/>
      <c r="Q138" s="147"/>
      <c r="R138" s="147"/>
      <c r="S138" s="128"/>
      <c r="T138" s="128"/>
      <c r="U138" s="145"/>
      <c r="V138" s="145"/>
      <c r="W138" s="128">
        <f t="shared" si="94"/>
        <v>0</v>
      </c>
      <c r="X138">
        <f aca="true" t="shared" si="167" ref="X138:X201">+CONCATENATE(B138,D138)</f>
      </c>
      <c r="Y138" s="151">
        <f aca="true" t="shared" si="168" ref="Y138:Y201">+S138</f>
        <v>0</v>
      </c>
      <c r="Z138" s="151">
        <f aca="true" t="shared" si="169" ref="Z138:Z201">+T138</f>
        <v>0</v>
      </c>
    </row>
    <row r="139" spans="1:26" ht="12.75">
      <c r="A139" s="141">
        <f>+'SMAW-SMAW'!A139</f>
        <v>122</v>
      </c>
      <c r="B139" s="142">
        <v>6</v>
      </c>
      <c r="C139" s="143">
        <v>168.3</v>
      </c>
      <c r="D139" s="143">
        <v>2.77</v>
      </c>
      <c r="E139" s="144" t="s">
        <v>81</v>
      </c>
      <c r="F139" s="145">
        <f aca="true" t="shared" si="170" ref="F139:F149">IF($D$6=1,2,3)</f>
        <v>2</v>
      </c>
      <c r="G139" s="145">
        <f t="shared" si="166"/>
        <v>2</v>
      </c>
      <c r="H139" s="145">
        <f aca="true" t="shared" si="171" ref="H139:H149">IF(D139&lt;=19,2,3)</f>
        <v>2</v>
      </c>
      <c r="I139" s="146">
        <f aca="true" t="shared" si="172" ref="I139:I149">IF(D139&lt;=19,(D139-G139)*TAN($C$8*PI()/180),(19-G139)*TAN($C$8*PI()/180))</f>
        <v>0.5908417807437994</v>
      </c>
      <c r="J139" s="147"/>
      <c r="K139" s="145">
        <f aca="true" t="shared" si="173" ref="K139:K149">IF(D139&lt;=19,0,(D139-19)*TAN($C$10*PI()/180))</f>
        <v>0</v>
      </c>
      <c r="L139" s="145">
        <f aca="true" t="shared" si="174" ref="L139:L149">+F139*(G139*1.5)</f>
        <v>6</v>
      </c>
      <c r="M139" s="145">
        <f aca="true" t="shared" si="175" ref="M139:M149">+F139*(D139-G139)</f>
        <v>1.54</v>
      </c>
      <c r="N139" s="145">
        <f aca="true" t="shared" si="176" ref="N139:N149">IF(D139&lt;=19,(D139-G139)*I139,(19-G139)*I139)</f>
        <v>0.45494817117272557</v>
      </c>
      <c r="O139" s="145">
        <f aca="true" t="shared" si="177" ref="O139:O149">IF(D139&lt;=19,0,(I139*(D139-19)*2)+((K139)*(D139-19)))</f>
        <v>0</v>
      </c>
      <c r="P139" s="145">
        <f aca="true" t="shared" si="178" ref="P139:P149">+(5+F139+(2*(I139+K139)))*H139</f>
        <v>16.3633671229752</v>
      </c>
      <c r="Q139" s="147">
        <f aca="true" t="shared" si="179" ref="Q139:Q149">SUM(M139:P139)</f>
        <v>18.358315294147925</v>
      </c>
      <c r="R139" s="147"/>
      <c r="S139" s="128">
        <f aca="true" t="shared" si="180" ref="S139:S149">IF(D$6=1,(PI()*(C139-(2*D139)+(2*G139))*L139*0.1*0.01*7.85*0.001/(S$16*S$17)),0)</f>
        <v>0.03427126773886814</v>
      </c>
      <c r="T139" s="128">
        <f aca="true" t="shared" si="181" ref="T139:T149">IF(D$6=1,(PI()*(C139-(0.5*D139))*(Q139)*0.1*0.01*7.85*0.001/(T$16*T$17)),0)</f>
        <v>0.10495792209045182</v>
      </c>
      <c r="U139" s="145">
        <f aca="true" t="shared" si="182" ref="U139:U149">IF(D$6=1,0,(PI()*(C139-(2*D139)+(2*G139))*L139*0.1*0.01*7.85*0.001/(U$16*U$17)))</f>
        <v>0</v>
      </c>
      <c r="V139" s="145">
        <f aca="true" t="shared" si="183" ref="V139:V149">IF(D$6=1,0,(PI()*(C139-(0.5*D139))*(Q139)*0.1*0.01*7.85*0.001/(V$16*V$17)))</f>
        <v>0</v>
      </c>
      <c r="W139" s="128">
        <f t="shared" si="94"/>
        <v>0</v>
      </c>
      <c r="X139" t="str">
        <f t="shared" si="167"/>
        <v>62,77</v>
      </c>
      <c r="Y139" s="151">
        <f t="shared" si="168"/>
        <v>0.03427126773886814</v>
      </c>
      <c r="Z139" s="151">
        <f t="shared" si="169"/>
        <v>0.10495792209045182</v>
      </c>
    </row>
    <row r="140" spans="1:26" ht="12.75">
      <c r="A140" s="141">
        <f>+'SMAW-SMAW'!A140</f>
        <v>123</v>
      </c>
      <c r="B140" s="142">
        <v>6</v>
      </c>
      <c r="C140" s="143">
        <v>168.3</v>
      </c>
      <c r="D140" s="143">
        <v>3.4</v>
      </c>
      <c r="E140" s="144" t="s">
        <v>84</v>
      </c>
      <c r="F140" s="145">
        <f t="shared" si="170"/>
        <v>2</v>
      </c>
      <c r="G140" s="145">
        <f t="shared" si="166"/>
        <v>2</v>
      </c>
      <c r="H140" s="145">
        <f t="shared" si="171"/>
        <v>2</v>
      </c>
      <c r="I140" s="146">
        <f t="shared" si="172"/>
        <v>1.0742577831705444</v>
      </c>
      <c r="J140" s="147"/>
      <c r="K140" s="145">
        <f t="shared" si="173"/>
        <v>0</v>
      </c>
      <c r="L140" s="145">
        <f t="shared" si="174"/>
        <v>6</v>
      </c>
      <c r="M140" s="145">
        <f t="shared" si="175"/>
        <v>2.8</v>
      </c>
      <c r="N140" s="145">
        <f t="shared" si="176"/>
        <v>1.503960896438762</v>
      </c>
      <c r="O140" s="145">
        <f t="shared" si="177"/>
        <v>0</v>
      </c>
      <c r="P140" s="145">
        <f t="shared" si="178"/>
        <v>18.29703113268218</v>
      </c>
      <c r="Q140" s="147">
        <f t="shared" si="179"/>
        <v>22.60099202912094</v>
      </c>
      <c r="R140" s="147"/>
      <c r="S140" s="128">
        <f t="shared" si="180"/>
        <v>0.03401232196439599</v>
      </c>
      <c r="T140" s="128">
        <f t="shared" si="181"/>
        <v>0.1289702471839821</v>
      </c>
      <c r="U140" s="145">
        <f t="shared" si="182"/>
        <v>0</v>
      </c>
      <c r="V140" s="145">
        <f t="shared" si="183"/>
        <v>0</v>
      </c>
      <c r="W140" s="128">
        <f t="shared" si="94"/>
        <v>0</v>
      </c>
      <c r="X140" t="str">
        <f t="shared" si="167"/>
        <v>63,4</v>
      </c>
      <c r="Y140" s="151">
        <f t="shared" si="168"/>
        <v>0.03401232196439599</v>
      </c>
      <c r="Z140" s="151">
        <f t="shared" si="169"/>
        <v>0.1289702471839821</v>
      </c>
    </row>
    <row r="141" spans="1:26" ht="12.75">
      <c r="A141" s="141">
        <f>+'SMAW-SMAW'!A141</f>
        <v>124</v>
      </c>
      <c r="B141" s="142">
        <v>6</v>
      </c>
      <c r="C141" s="143">
        <v>168.3</v>
      </c>
      <c r="D141" s="143">
        <v>7.11</v>
      </c>
      <c r="E141" s="144" t="s">
        <v>85</v>
      </c>
      <c r="F141" s="145">
        <f t="shared" si="170"/>
        <v>2</v>
      </c>
      <c r="G141" s="145">
        <f t="shared" si="166"/>
        <v>2</v>
      </c>
      <c r="H141" s="145">
        <f t="shared" si="171"/>
        <v>2</v>
      </c>
      <c r="I141" s="146">
        <f t="shared" si="172"/>
        <v>3.9210409085724875</v>
      </c>
      <c r="J141" s="147"/>
      <c r="K141" s="145">
        <f t="shared" si="173"/>
        <v>0</v>
      </c>
      <c r="L141" s="145">
        <f t="shared" si="174"/>
        <v>6</v>
      </c>
      <c r="M141" s="145">
        <f t="shared" si="175"/>
        <v>10.22</v>
      </c>
      <c r="N141" s="145">
        <f t="shared" si="176"/>
        <v>20.036519042805413</v>
      </c>
      <c r="O141" s="145">
        <f t="shared" si="177"/>
        <v>0</v>
      </c>
      <c r="P141" s="145">
        <f t="shared" si="178"/>
        <v>29.684163634289952</v>
      </c>
      <c r="Q141" s="147">
        <f t="shared" si="179"/>
        <v>59.94068267709537</v>
      </c>
      <c r="R141" s="147"/>
      <c r="S141" s="128">
        <f t="shared" si="180"/>
        <v>0.03248741907028229</v>
      </c>
      <c r="T141" s="128">
        <f t="shared" si="181"/>
        <v>0.33823688077347475</v>
      </c>
      <c r="U141" s="145">
        <f t="shared" si="182"/>
        <v>0</v>
      </c>
      <c r="V141" s="145">
        <f t="shared" si="183"/>
        <v>0</v>
      </c>
      <c r="W141" s="128">
        <f t="shared" si="94"/>
        <v>0</v>
      </c>
      <c r="X141" t="str">
        <f t="shared" si="167"/>
        <v>67,11</v>
      </c>
      <c r="Y141" s="151">
        <f t="shared" si="168"/>
        <v>0.03248741907028229</v>
      </c>
      <c r="Z141" s="151">
        <f t="shared" si="169"/>
        <v>0.33823688077347475</v>
      </c>
    </row>
    <row r="142" spans="1:26" ht="12.75">
      <c r="A142" s="141">
        <f>+'SMAW-SMAW'!A142</f>
        <v>125</v>
      </c>
      <c r="B142" s="142">
        <v>6</v>
      </c>
      <c r="C142" s="143">
        <v>168.3</v>
      </c>
      <c r="D142" s="143">
        <v>7.11</v>
      </c>
      <c r="E142" s="144" t="s">
        <v>86</v>
      </c>
      <c r="F142" s="145">
        <f t="shared" si="170"/>
        <v>2</v>
      </c>
      <c r="G142" s="145">
        <f t="shared" si="166"/>
        <v>2</v>
      </c>
      <c r="H142" s="145">
        <f t="shared" si="171"/>
        <v>2</v>
      </c>
      <c r="I142" s="146">
        <f t="shared" si="172"/>
        <v>3.9210409085724875</v>
      </c>
      <c r="J142" s="147"/>
      <c r="K142" s="145">
        <f t="shared" si="173"/>
        <v>0</v>
      </c>
      <c r="L142" s="145">
        <f t="shared" si="174"/>
        <v>6</v>
      </c>
      <c r="M142" s="145">
        <f t="shared" si="175"/>
        <v>10.22</v>
      </c>
      <c r="N142" s="145">
        <f t="shared" si="176"/>
        <v>20.036519042805413</v>
      </c>
      <c r="O142" s="145">
        <f t="shared" si="177"/>
        <v>0</v>
      </c>
      <c r="P142" s="145">
        <f t="shared" si="178"/>
        <v>29.684163634289952</v>
      </c>
      <c r="Q142" s="147">
        <f t="shared" si="179"/>
        <v>59.94068267709537</v>
      </c>
      <c r="R142" s="147"/>
      <c r="S142" s="128">
        <f t="shared" si="180"/>
        <v>0.03248741907028229</v>
      </c>
      <c r="T142" s="128">
        <f t="shared" si="181"/>
        <v>0.33823688077347475</v>
      </c>
      <c r="U142" s="145">
        <f t="shared" si="182"/>
        <v>0</v>
      </c>
      <c r="V142" s="145">
        <f t="shared" si="183"/>
        <v>0</v>
      </c>
      <c r="W142" s="128">
        <f t="shared" si="94"/>
        <v>0</v>
      </c>
      <c r="X142" t="str">
        <f t="shared" si="167"/>
        <v>67,11</v>
      </c>
      <c r="Y142" s="151">
        <f t="shared" si="168"/>
        <v>0.03248741907028229</v>
      </c>
      <c r="Z142" s="151">
        <f t="shared" si="169"/>
        <v>0.33823688077347475</v>
      </c>
    </row>
    <row r="143" spans="1:26" ht="12.75">
      <c r="A143" s="141">
        <f>+'SMAW-SMAW'!A143</f>
        <v>126</v>
      </c>
      <c r="B143" s="142">
        <v>6</v>
      </c>
      <c r="C143" s="143">
        <v>168.3</v>
      </c>
      <c r="D143" s="143">
        <v>7.11</v>
      </c>
      <c r="E143" s="144" t="s">
        <v>87</v>
      </c>
      <c r="F143" s="145">
        <f t="shared" si="170"/>
        <v>2</v>
      </c>
      <c r="G143" s="145">
        <f t="shared" si="166"/>
        <v>2</v>
      </c>
      <c r="H143" s="145">
        <f t="shared" si="171"/>
        <v>2</v>
      </c>
      <c r="I143" s="146">
        <f t="shared" si="172"/>
        <v>3.9210409085724875</v>
      </c>
      <c r="J143" s="147"/>
      <c r="K143" s="145">
        <f t="shared" si="173"/>
        <v>0</v>
      </c>
      <c r="L143" s="145">
        <f t="shared" si="174"/>
        <v>6</v>
      </c>
      <c r="M143" s="145">
        <f t="shared" si="175"/>
        <v>10.22</v>
      </c>
      <c r="N143" s="145">
        <f t="shared" si="176"/>
        <v>20.036519042805413</v>
      </c>
      <c r="O143" s="145">
        <f t="shared" si="177"/>
        <v>0</v>
      </c>
      <c r="P143" s="145">
        <f t="shared" si="178"/>
        <v>29.684163634289952</v>
      </c>
      <c r="Q143" s="147">
        <f t="shared" si="179"/>
        <v>59.94068267709537</v>
      </c>
      <c r="R143" s="147"/>
      <c r="S143" s="128">
        <f t="shared" si="180"/>
        <v>0.03248741907028229</v>
      </c>
      <c r="T143" s="128">
        <f t="shared" si="181"/>
        <v>0.33823688077347475</v>
      </c>
      <c r="U143" s="145">
        <f t="shared" si="182"/>
        <v>0</v>
      </c>
      <c r="V143" s="145">
        <f t="shared" si="183"/>
        <v>0</v>
      </c>
      <c r="W143" s="128">
        <f t="shared" si="94"/>
        <v>0</v>
      </c>
      <c r="X143" t="str">
        <f t="shared" si="167"/>
        <v>67,11</v>
      </c>
      <c r="Y143" s="151">
        <f t="shared" si="168"/>
        <v>0.03248741907028229</v>
      </c>
      <c r="Z143" s="151">
        <f t="shared" si="169"/>
        <v>0.33823688077347475</v>
      </c>
    </row>
    <row r="144" spans="1:26" ht="12.75">
      <c r="A144" s="141">
        <f>+'SMAW-SMAW'!A144</f>
        <v>127</v>
      </c>
      <c r="B144" s="142">
        <v>6</v>
      </c>
      <c r="C144" s="143">
        <v>168.3</v>
      </c>
      <c r="D144" s="143">
        <v>10.97</v>
      </c>
      <c r="E144" s="144" t="s">
        <v>88</v>
      </c>
      <c r="F144" s="145">
        <f t="shared" si="170"/>
        <v>2</v>
      </c>
      <c r="G144" s="145">
        <f t="shared" si="166"/>
        <v>2</v>
      </c>
      <c r="H144" s="145">
        <f t="shared" si="171"/>
        <v>2</v>
      </c>
      <c r="I144" s="146">
        <f t="shared" si="172"/>
        <v>6.882923082171275</v>
      </c>
      <c r="J144" s="147"/>
      <c r="K144" s="145">
        <f t="shared" si="173"/>
        <v>0</v>
      </c>
      <c r="L144" s="145">
        <f t="shared" si="174"/>
        <v>6</v>
      </c>
      <c r="M144" s="145">
        <f t="shared" si="175"/>
        <v>17.94</v>
      </c>
      <c r="N144" s="145">
        <f t="shared" si="176"/>
        <v>61.73982004707634</v>
      </c>
      <c r="O144" s="145">
        <f t="shared" si="177"/>
        <v>0</v>
      </c>
      <c r="P144" s="145">
        <f t="shared" si="178"/>
        <v>41.5316923286851</v>
      </c>
      <c r="Q144" s="147">
        <f t="shared" si="179"/>
        <v>121.21151237576144</v>
      </c>
      <c r="R144" s="147"/>
      <c r="S144" s="128">
        <f t="shared" si="180"/>
        <v>0.030900862420341887</v>
      </c>
      <c r="T144" s="128">
        <f t="shared" si="181"/>
        <v>0.6759667228464228</v>
      </c>
      <c r="U144" s="145">
        <f t="shared" si="182"/>
        <v>0</v>
      </c>
      <c r="V144" s="145">
        <f t="shared" si="183"/>
        <v>0</v>
      </c>
      <c r="W144" s="128">
        <f t="shared" si="94"/>
        <v>0</v>
      </c>
      <c r="X144" t="str">
        <f t="shared" si="167"/>
        <v>610,97</v>
      </c>
      <c r="Y144" s="151">
        <f t="shared" si="168"/>
        <v>0.030900862420341887</v>
      </c>
      <c r="Z144" s="151">
        <f t="shared" si="169"/>
        <v>0.6759667228464228</v>
      </c>
    </row>
    <row r="145" spans="1:26" ht="12.75">
      <c r="A145" s="141">
        <f>+'SMAW-SMAW'!A145</f>
        <v>128</v>
      </c>
      <c r="B145" s="142">
        <v>6</v>
      </c>
      <c r="C145" s="143">
        <v>168.3</v>
      </c>
      <c r="D145" s="143">
        <v>10.97</v>
      </c>
      <c r="E145" s="144" t="s">
        <v>82</v>
      </c>
      <c r="F145" s="145">
        <f t="shared" si="170"/>
        <v>2</v>
      </c>
      <c r="G145" s="145">
        <f t="shared" si="166"/>
        <v>2</v>
      </c>
      <c r="H145" s="145">
        <f t="shared" si="171"/>
        <v>2</v>
      </c>
      <c r="I145" s="146">
        <f t="shared" si="172"/>
        <v>6.882923082171275</v>
      </c>
      <c r="J145" s="147"/>
      <c r="K145" s="145">
        <f t="shared" si="173"/>
        <v>0</v>
      </c>
      <c r="L145" s="145">
        <f t="shared" si="174"/>
        <v>6</v>
      </c>
      <c r="M145" s="145">
        <f t="shared" si="175"/>
        <v>17.94</v>
      </c>
      <c r="N145" s="145">
        <f t="shared" si="176"/>
        <v>61.73982004707634</v>
      </c>
      <c r="O145" s="145">
        <f t="shared" si="177"/>
        <v>0</v>
      </c>
      <c r="P145" s="145">
        <f t="shared" si="178"/>
        <v>41.5316923286851</v>
      </c>
      <c r="Q145" s="147">
        <f t="shared" si="179"/>
        <v>121.21151237576144</v>
      </c>
      <c r="R145" s="147"/>
      <c r="S145" s="128">
        <f t="shared" si="180"/>
        <v>0.030900862420341887</v>
      </c>
      <c r="T145" s="128">
        <f t="shared" si="181"/>
        <v>0.6759667228464228</v>
      </c>
      <c r="U145" s="145">
        <f t="shared" si="182"/>
        <v>0</v>
      </c>
      <c r="V145" s="145">
        <f t="shared" si="183"/>
        <v>0</v>
      </c>
      <c r="W145" s="128">
        <f t="shared" si="94"/>
        <v>0</v>
      </c>
      <c r="X145" t="str">
        <f t="shared" si="167"/>
        <v>610,97</v>
      </c>
      <c r="Y145" s="151">
        <f t="shared" si="168"/>
        <v>0.030900862420341887</v>
      </c>
      <c r="Z145" s="151">
        <f t="shared" si="169"/>
        <v>0.6759667228464228</v>
      </c>
    </row>
    <row r="146" spans="1:26" ht="12.75">
      <c r="A146" s="141">
        <f>+'SMAW-SMAW'!A146</f>
        <v>129</v>
      </c>
      <c r="B146" s="142">
        <v>6</v>
      </c>
      <c r="C146" s="143">
        <v>168.3</v>
      </c>
      <c r="D146" s="143">
        <v>10.97</v>
      </c>
      <c r="E146" s="144" t="s">
        <v>89</v>
      </c>
      <c r="F146" s="145">
        <f t="shared" si="170"/>
        <v>2</v>
      </c>
      <c r="G146" s="145">
        <f t="shared" si="166"/>
        <v>2</v>
      </c>
      <c r="H146" s="145">
        <f t="shared" si="171"/>
        <v>2</v>
      </c>
      <c r="I146" s="146">
        <f t="shared" si="172"/>
        <v>6.882923082171275</v>
      </c>
      <c r="J146" s="147"/>
      <c r="K146" s="145">
        <f t="shared" si="173"/>
        <v>0</v>
      </c>
      <c r="L146" s="145">
        <f t="shared" si="174"/>
        <v>6</v>
      </c>
      <c r="M146" s="145">
        <f t="shared" si="175"/>
        <v>17.94</v>
      </c>
      <c r="N146" s="145">
        <f t="shared" si="176"/>
        <v>61.73982004707634</v>
      </c>
      <c r="O146" s="145">
        <f t="shared" si="177"/>
        <v>0</v>
      </c>
      <c r="P146" s="145">
        <f t="shared" si="178"/>
        <v>41.5316923286851</v>
      </c>
      <c r="Q146" s="147">
        <f t="shared" si="179"/>
        <v>121.21151237576144</v>
      </c>
      <c r="R146" s="147"/>
      <c r="S146" s="128">
        <f t="shared" si="180"/>
        <v>0.030900862420341887</v>
      </c>
      <c r="T146" s="128">
        <f t="shared" si="181"/>
        <v>0.6759667228464228</v>
      </c>
      <c r="U146" s="145">
        <f t="shared" si="182"/>
        <v>0</v>
      </c>
      <c r="V146" s="145">
        <f t="shared" si="183"/>
        <v>0</v>
      </c>
      <c r="W146" s="128">
        <f aca="true" t="shared" si="184" ref="W146:W209">SUM(U146:V146)</f>
        <v>0</v>
      </c>
      <c r="X146" t="str">
        <f t="shared" si="167"/>
        <v>610,97</v>
      </c>
      <c r="Y146" s="151">
        <f t="shared" si="168"/>
        <v>0.030900862420341887</v>
      </c>
      <c r="Z146" s="151">
        <f t="shared" si="169"/>
        <v>0.6759667228464228</v>
      </c>
    </row>
    <row r="147" spans="1:26" ht="12.75">
      <c r="A147" s="141">
        <f>+'SMAW-SMAW'!A147</f>
        <v>130</v>
      </c>
      <c r="B147" s="142">
        <v>6</v>
      </c>
      <c r="C147" s="143">
        <v>168.3</v>
      </c>
      <c r="D147" s="143">
        <v>14.27</v>
      </c>
      <c r="E147" s="144" t="s">
        <v>91</v>
      </c>
      <c r="F147" s="145">
        <f t="shared" si="170"/>
        <v>2</v>
      </c>
      <c r="G147" s="145">
        <f t="shared" si="166"/>
        <v>2</v>
      </c>
      <c r="H147" s="145">
        <f t="shared" si="171"/>
        <v>2</v>
      </c>
      <c r="I147" s="146">
        <f t="shared" si="172"/>
        <v>9.415102142501844</v>
      </c>
      <c r="J147" s="147"/>
      <c r="K147" s="145">
        <f t="shared" si="173"/>
        <v>0</v>
      </c>
      <c r="L147" s="145">
        <f t="shared" si="174"/>
        <v>6</v>
      </c>
      <c r="M147" s="145">
        <f t="shared" si="175"/>
        <v>24.54</v>
      </c>
      <c r="N147" s="145">
        <f t="shared" si="176"/>
        <v>115.52330328849763</v>
      </c>
      <c r="O147" s="145">
        <f t="shared" si="177"/>
        <v>0</v>
      </c>
      <c r="P147" s="145">
        <f t="shared" si="178"/>
        <v>51.66040857000738</v>
      </c>
      <c r="Q147" s="147">
        <f t="shared" si="179"/>
        <v>191.723711858505</v>
      </c>
      <c r="R147" s="147"/>
      <c r="S147" s="128">
        <f t="shared" si="180"/>
        <v>0.029544479792154497</v>
      </c>
      <c r="T147" s="128">
        <f t="shared" si="181"/>
        <v>1.0583604299980462</v>
      </c>
      <c r="U147" s="145">
        <f t="shared" si="182"/>
        <v>0</v>
      </c>
      <c r="V147" s="145">
        <f t="shared" si="183"/>
        <v>0</v>
      </c>
      <c r="W147" s="128">
        <f t="shared" si="184"/>
        <v>0</v>
      </c>
      <c r="X147" t="str">
        <f t="shared" si="167"/>
        <v>614,27</v>
      </c>
      <c r="Y147" s="151">
        <f t="shared" si="168"/>
        <v>0.029544479792154497</v>
      </c>
      <c r="Z147" s="151">
        <f t="shared" si="169"/>
        <v>1.0583604299980462</v>
      </c>
    </row>
    <row r="148" spans="1:26" ht="12.75">
      <c r="A148" s="141">
        <f>+'SMAW-SMAW'!A148</f>
        <v>131</v>
      </c>
      <c r="B148" s="142">
        <v>6</v>
      </c>
      <c r="C148" s="143">
        <v>168.3</v>
      </c>
      <c r="D148" s="143">
        <v>18.26</v>
      </c>
      <c r="E148" s="144" t="s">
        <v>90</v>
      </c>
      <c r="F148" s="145">
        <f t="shared" si="170"/>
        <v>2</v>
      </c>
      <c r="G148" s="145">
        <f t="shared" si="166"/>
        <v>2</v>
      </c>
      <c r="H148" s="145">
        <f t="shared" si="171"/>
        <v>2</v>
      </c>
      <c r="I148" s="146">
        <f t="shared" si="172"/>
        <v>12.476736824537896</v>
      </c>
      <c r="J148" s="147"/>
      <c r="K148" s="145">
        <f t="shared" si="173"/>
        <v>0</v>
      </c>
      <c r="L148" s="145">
        <f t="shared" si="174"/>
        <v>6</v>
      </c>
      <c r="M148" s="145">
        <f t="shared" si="175"/>
        <v>32.52</v>
      </c>
      <c r="N148" s="145">
        <f t="shared" si="176"/>
        <v>202.87174076698622</v>
      </c>
      <c r="O148" s="145">
        <f t="shared" si="177"/>
        <v>0</v>
      </c>
      <c r="P148" s="145">
        <f t="shared" si="178"/>
        <v>63.906947298151586</v>
      </c>
      <c r="Q148" s="147">
        <f t="shared" si="179"/>
        <v>299.2986880651378</v>
      </c>
      <c r="R148" s="147"/>
      <c r="S148" s="128">
        <f t="shared" si="180"/>
        <v>0.027904489887164277</v>
      </c>
      <c r="T148" s="128">
        <f t="shared" si="181"/>
        <v>1.6317479000453101</v>
      </c>
      <c r="U148" s="145">
        <f t="shared" si="182"/>
        <v>0</v>
      </c>
      <c r="V148" s="145">
        <f t="shared" si="183"/>
        <v>0</v>
      </c>
      <c r="W148" s="128">
        <f t="shared" si="184"/>
        <v>0</v>
      </c>
      <c r="X148" t="str">
        <f t="shared" si="167"/>
        <v>618,26</v>
      </c>
      <c r="Y148" s="151">
        <f t="shared" si="168"/>
        <v>0.027904489887164277</v>
      </c>
      <c r="Z148" s="151">
        <f t="shared" si="169"/>
        <v>1.6317479000453101</v>
      </c>
    </row>
    <row r="149" spans="1:26" ht="12.75">
      <c r="A149" s="141">
        <f>+'SMAW-SMAW'!A149</f>
        <v>132</v>
      </c>
      <c r="B149" s="142">
        <v>6</v>
      </c>
      <c r="C149" s="143">
        <v>168.3</v>
      </c>
      <c r="D149" s="143">
        <v>21.95</v>
      </c>
      <c r="E149" s="144" t="s">
        <v>83</v>
      </c>
      <c r="F149" s="145">
        <f t="shared" si="170"/>
        <v>2</v>
      </c>
      <c r="G149" s="145">
        <f t="shared" si="166"/>
        <v>2</v>
      </c>
      <c r="H149" s="145">
        <f t="shared" si="171"/>
        <v>3</v>
      </c>
      <c r="I149" s="146">
        <f t="shared" si="172"/>
        <v>13.044558795642326</v>
      </c>
      <c r="J149" s="147"/>
      <c r="K149" s="145">
        <f t="shared" si="173"/>
        <v>0.5201645930899715</v>
      </c>
      <c r="L149" s="145">
        <f t="shared" si="174"/>
        <v>6</v>
      </c>
      <c r="M149" s="145">
        <f t="shared" si="175"/>
        <v>39.9</v>
      </c>
      <c r="N149" s="145">
        <f t="shared" si="176"/>
        <v>221.75749952591954</v>
      </c>
      <c r="O149" s="145">
        <f t="shared" si="177"/>
        <v>78.49738244390511</v>
      </c>
      <c r="P149" s="145">
        <f t="shared" si="178"/>
        <v>102.38834033239378</v>
      </c>
      <c r="Q149" s="147">
        <f t="shared" si="179"/>
        <v>442.54322230221845</v>
      </c>
      <c r="R149" s="147"/>
      <c r="S149" s="128">
        <f t="shared" si="180"/>
        <v>0.026387807493827468</v>
      </c>
      <c r="T149" s="128">
        <f t="shared" si="181"/>
        <v>2.3847368748926616</v>
      </c>
      <c r="U149" s="145">
        <f t="shared" si="182"/>
        <v>0</v>
      </c>
      <c r="V149" s="145">
        <f t="shared" si="183"/>
        <v>0</v>
      </c>
      <c r="W149" s="128">
        <f t="shared" si="184"/>
        <v>0</v>
      </c>
      <c r="X149" t="str">
        <f t="shared" si="167"/>
        <v>621,95</v>
      </c>
      <c r="Y149" s="151">
        <f t="shared" si="168"/>
        <v>0.026387807493827468</v>
      </c>
      <c r="Z149" s="151">
        <f t="shared" si="169"/>
        <v>2.3847368748926616</v>
      </c>
    </row>
    <row r="150" spans="1:26" ht="12.75">
      <c r="A150" s="141">
        <f>+'SMAW-SMAW'!A150</f>
        <v>133</v>
      </c>
      <c r="B150" s="142"/>
      <c r="C150" s="143"/>
      <c r="D150" s="143"/>
      <c r="E150" s="144"/>
      <c r="F150" s="145"/>
      <c r="G150" s="145">
        <f t="shared" si="166"/>
        <v>0</v>
      </c>
      <c r="H150" s="145"/>
      <c r="I150" s="146"/>
      <c r="J150" s="147"/>
      <c r="K150" s="145"/>
      <c r="L150" s="145"/>
      <c r="M150" s="145"/>
      <c r="N150" s="145"/>
      <c r="O150" s="145"/>
      <c r="P150" s="145"/>
      <c r="Q150" s="147"/>
      <c r="R150" s="147"/>
      <c r="S150" s="128"/>
      <c r="T150" s="128"/>
      <c r="U150" s="145"/>
      <c r="V150" s="145"/>
      <c r="W150" s="128">
        <f t="shared" si="184"/>
        <v>0</v>
      </c>
      <c r="X150">
        <f t="shared" si="167"/>
      </c>
      <c r="Y150" s="151">
        <f t="shared" si="168"/>
        <v>0</v>
      </c>
      <c r="Z150" s="151">
        <f t="shared" si="169"/>
        <v>0</v>
      </c>
    </row>
    <row r="151" spans="1:26" ht="12.75">
      <c r="A151" s="141">
        <f>+'SMAW-SMAW'!A151</f>
        <v>134</v>
      </c>
      <c r="B151" s="142">
        <v>8</v>
      </c>
      <c r="C151" s="143">
        <v>219.1</v>
      </c>
      <c r="D151" s="143">
        <v>2.77</v>
      </c>
      <c r="E151" s="144" t="s">
        <v>81</v>
      </c>
      <c r="F151" s="145">
        <f aca="true" t="shared" si="185" ref="F151:F166">IF($D$6=1,2,3)</f>
        <v>2</v>
      </c>
      <c r="G151" s="145">
        <f t="shared" si="166"/>
        <v>2</v>
      </c>
      <c r="H151" s="145">
        <f aca="true" t="shared" si="186" ref="H151:H166">IF(D151&lt;=19,2,3)</f>
        <v>2</v>
      </c>
      <c r="I151" s="146">
        <f aca="true" t="shared" si="187" ref="I151:I166">IF(D151&lt;=19,(D151-G151)*TAN($C$8*PI()/180),(19-G151)*TAN($C$8*PI()/180))</f>
        <v>0.5908417807437994</v>
      </c>
      <c r="J151" s="147"/>
      <c r="K151" s="145">
        <f aca="true" t="shared" si="188" ref="K151:K166">IF(D151&lt;=19,0,(D151-19)*TAN($C$10*PI()/180))</f>
        <v>0</v>
      </c>
      <c r="L151" s="145">
        <f aca="true" t="shared" si="189" ref="L151:L166">+F151*(G151*1.5)</f>
        <v>6</v>
      </c>
      <c r="M151" s="145">
        <f aca="true" t="shared" si="190" ref="M151:M166">+F151*(D151-G151)</f>
        <v>1.54</v>
      </c>
      <c r="N151" s="145">
        <f aca="true" t="shared" si="191" ref="N151:N166">IF(D151&lt;=19,(D151-G151)*I151,(19-G151)*I151)</f>
        <v>0.45494817117272557</v>
      </c>
      <c r="O151" s="145">
        <f aca="true" t="shared" si="192" ref="O151:O166">IF(D151&lt;=19,0,(I151*(D151-19)*2)+((K151)*(D151-19)))</f>
        <v>0</v>
      </c>
      <c r="P151" s="145">
        <f aca="true" t="shared" si="193" ref="P151:P166">+(5+F151+(2*(I151+K151)))*H151</f>
        <v>16.3633671229752</v>
      </c>
      <c r="Q151" s="147">
        <f aca="true" t="shared" si="194" ref="Q151:Q166">SUM(M151:P151)</f>
        <v>18.358315294147925</v>
      </c>
      <c r="R151" s="147"/>
      <c r="S151" s="128">
        <f aca="true" t="shared" si="195" ref="S151:S166">IF(D$6=1,(PI()*(C151-(2*D151)+(2*G151))*L151*0.1*0.01*7.85*0.001/(S$16*S$17)),0)</f>
        <v>0.04471130372552262</v>
      </c>
      <c r="T151" s="128">
        <f aca="true" t="shared" si="196" ref="T151:T166">IF(D$6=1,(PI()*(C151-(0.5*D151))*(Q151)*0.1*0.01*7.85*0.001/(T$16*T$17)),0)</f>
        <v>0.13690150081132743</v>
      </c>
      <c r="U151" s="145">
        <f aca="true" t="shared" si="197" ref="U151:U166">IF(D$6=1,0,(PI()*(C151-(2*D151)+(2*G151))*L151*0.1*0.01*7.85*0.001/(U$16*U$17)))</f>
        <v>0</v>
      </c>
      <c r="V151" s="145">
        <f aca="true" t="shared" si="198" ref="V151:V166">IF(D$6=1,0,(PI()*(C151-(0.5*D151))*(Q151)*0.1*0.01*7.85*0.001/(V$16*V$17)))</f>
        <v>0</v>
      </c>
      <c r="W151" s="128">
        <f t="shared" si="184"/>
        <v>0</v>
      </c>
      <c r="X151" t="str">
        <f t="shared" si="167"/>
        <v>82,77</v>
      </c>
      <c r="Y151" s="151">
        <f t="shared" si="168"/>
        <v>0.04471130372552262</v>
      </c>
      <c r="Z151" s="151">
        <f t="shared" si="169"/>
        <v>0.13690150081132743</v>
      </c>
    </row>
    <row r="152" spans="1:26" ht="12.75">
      <c r="A152" s="141">
        <f>+'SMAW-SMAW'!A152</f>
        <v>135</v>
      </c>
      <c r="B152" s="142">
        <v>8</v>
      </c>
      <c r="C152" s="143">
        <v>219.1</v>
      </c>
      <c r="D152" s="143">
        <v>3.76</v>
      </c>
      <c r="E152" s="144" t="s">
        <v>84</v>
      </c>
      <c r="F152" s="145">
        <f t="shared" si="185"/>
        <v>2</v>
      </c>
      <c r="G152" s="145">
        <f t="shared" si="166"/>
        <v>2</v>
      </c>
      <c r="H152" s="145">
        <f t="shared" si="186"/>
        <v>2</v>
      </c>
      <c r="I152" s="146">
        <f t="shared" si="187"/>
        <v>1.35049549884297</v>
      </c>
      <c r="J152" s="147"/>
      <c r="K152" s="145">
        <f t="shared" si="188"/>
        <v>0</v>
      </c>
      <c r="L152" s="145">
        <f t="shared" si="189"/>
        <v>6</v>
      </c>
      <c r="M152" s="145">
        <f t="shared" si="190"/>
        <v>3.5199999999999996</v>
      </c>
      <c r="N152" s="145">
        <f t="shared" si="191"/>
        <v>2.376872077963627</v>
      </c>
      <c r="O152" s="145">
        <f t="shared" si="192"/>
        <v>0</v>
      </c>
      <c r="P152" s="145">
        <f t="shared" si="193"/>
        <v>19.40198199537188</v>
      </c>
      <c r="Q152" s="147">
        <f t="shared" si="194"/>
        <v>25.298854073335505</v>
      </c>
      <c r="R152" s="147"/>
      <c r="S152" s="128">
        <f t="shared" si="195"/>
        <v>0.04430438893706639</v>
      </c>
      <c r="T152" s="128">
        <f t="shared" si="196"/>
        <v>0.18822950162654695</v>
      </c>
      <c r="U152" s="145">
        <f t="shared" si="197"/>
        <v>0</v>
      </c>
      <c r="V152" s="145">
        <f t="shared" si="198"/>
        <v>0</v>
      </c>
      <c r="W152" s="128">
        <f t="shared" si="184"/>
        <v>0</v>
      </c>
      <c r="X152" t="str">
        <f t="shared" si="167"/>
        <v>83,76</v>
      </c>
      <c r="Y152" s="151">
        <f t="shared" si="168"/>
        <v>0.04430438893706639</v>
      </c>
      <c r="Z152" s="151">
        <f t="shared" si="169"/>
        <v>0.18822950162654695</v>
      </c>
    </row>
    <row r="153" spans="1:26" ht="12.75">
      <c r="A153" s="141">
        <f>+'SMAW-SMAW'!A153</f>
        <v>136</v>
      </c>
      <c r="B153" s="142">
        <v>8</v>
      </c>
      <c r="C153" s="143">
        <v>219.1</v>
      </c>
      <c r="D153" s="143">
        <v>6.35</v>
      </c>
      <c r="E153" s="144" t="s">
        <v>92</v>
      </c>
      <c r="F153" s="145">
        <f t="shared" si="185"/>
        <v>2</v>
      </c>
      <c r="G153" s="145">
        <f t="shared" si="166"/>
        <v>2</v>
      </c>
      <c r="H153" s="145">
        <f t="shared" si="186"/>
        <v>2</v>
      </c>
      <c r="I153" s="146">
        <f t="shared" si="187"/>
        <v>3.337872397708477</v>
      </c>
      <c r="J153" s="147"/>
      <c r="K153" s="145">
        <f t="shared" si="188"/>
        <v>0</v>
      </c>
      <c r="L153" s="145">
        <f t="shared" si="189"/>
        <v>6</v>
      </c>
      <c r="M153" s="145">
        <f t="shared" si="190"/>
        <v>8.7</v>
      </c>
      <c r="N153" s="145">
        <f t="shared" si="191"/>
        <v>14.519744930031875</v>
      </c>
      <c r="O153" s="145">
        <f t="shared" si="192"/>
        <v>0</v>
      </c>
      <c r="P153" s="145">
        <f t="shared" si="193"/>
        <v>27.351489590833907</v>
      </c>
      <c r="Q153" s="147">
        <f t="shared" si="194"/>
        <v>50.57123452086578</v>
      </c>
      <c r="R153" s="147"/>
      <c r="S153" s="128">
        <f t="shared" si="195"/>
        <v>0.04323983408645871</v>
      </c>
      <c r="T153" s="128">
        <f t="shared" si="196"/>
        <v>0.3740188726277984</v>
      </c>
      <c r="U153" s="145">
        <f t="shared" si="197"/>
        <v>0</v>
      </c>
      <c r="V153" s="145">
        <f t="shared" si="198"/>
        <v>0</v>
      </c>
      <c r="W153" s="128">
        <f t="shared" si="184"/>
        <v>0</v>
      </c>
      <c r="X153" t="str">
        <f t="shared" si="167"/>
        <v>86,35</v>
      </c>
      <c r="Y153" s="151">
        <f t="shared" si="168"/>
        <v>0.04323983408645871</v>
      </c>
      <c r="Z153" s="151">
        <f t="shared" si="169"/>
        <v>0.3740188726277984</v>
      </c>
    </row>
    <row r="154" spans="1:26" ht="12.75">
      <c r="A154" s="141">
        <f>+'SMAW-SMAW'!A154</f>
        <v>137</v>
      </c>
      <c r="B154" s="142">
        <v>8</v>
      </c>
      <c r="C154" s="143">
        <v>219.1</v>
      </c>
      <c r="D154" s="143">
        <v>7.04</v>
      </c>
      <c r="E154" s="144" t="s">
        <v>93</v>
      </c>
      <c r="F154" s="145">
        <f t="shared" si="185"/>
        <v>2</v>
      </c>
      <c r="G154" s="145">
        <f t="shared" si="166"/>
        <v>2</v>
      </c>
      <c r="H154" s="145">
        <f t="shared" si="186"/>
        <v>2</v>
      </c>
      <c r="I154" s="146">
        <f t="shared" si="187"/>
        <v>3.8673280194139603</v>
      </c>
      <c r="J154" s="147"/>
      <c r="K154" s="145">
        <f t="shared" si="188"/>
        <v>0</v>
      </c>
      <c r="L154" s="145">
        <f t="shared" si="189"/>
        <v>6</v>
      </c>
      <c r="M154" s="145">
        <f t="shared" si="190"/>
        <v>10.08</v>
      </c>
      <c r="N154" s="145">
        <f t="shared" si="191"/>
        <v>19.49133321784636</v>
      </c>
      <c r="O154" s="145">
        <f t="shared" si="192"/>
        <v>0</v>
      </c>
      <c r="P154" s="145">
        <f t="shared" si="193"/>
        <v>29.469312077655843</v>
      </c>
      <c r="Q154" s="147">
        <f t="shared" si="194"/>
        <v>59.0406452955022</v>
      </c>
      <c r="R154" s="147"/>
      <c r="S154" s="128">
        <f t="shared" si="195"/>
        <v>0.04295622680965589</v>
      </c>
      <c r="T154" s="128">
        <f t="shared" si="196"/>
        <v>0.43595995204455135</v>
      </c>
      <c r="U154" s="145">
        <f t="shared" si="197"/>
        <v>0</v>
      </c>
      <c r="V154" s="145">
        <f t="shared" si="198"/>
        <v>0</v>
      </c>
      <c r="W154" s="128">
        <f t="shared" si="184"/>
        <v>0</v>
      </c>
      <c r="X154" t="str">
        <f t="shared" si="167"/>
        <v>87,04</v>
      </c>
      <c r="Y154" s="151">
        <f t="shared" si="168"/>
        <v>0.04295622680965589</v>
      </c>
      <c r="Z154" s="151">
        <f t="shared" si="169"/>
        <v>0.43595995204455135</v>
      </c>
    </row>
    <row r="155" spans="1:26" ht="12.75">
      <c r="A155" s="141">
        <f>+'SMAW-SMAW'!A155</f>
        <v>138</v>
      </c>
      <c r="B155" s="142">
        <v>8</v>
      </c>
      <c r="C155" s="143">
        <v>219.1</v>
      </c>
      <c r="D155" s="143">
        <v>8.18</v>
      </c>
      <c r="E155" s="144" t="s">
        <v>85</v>
      </c>
      <c r="F155" s="145">
        <f t="shared" si="185"/>
        <v>2</v>
      </c>
      <c r="G155" s="145">
        <f t="shared" si="166"/>
        <v>2</v>
      </c>
      <c r="H155" s="145">
        <f t="shared" si="186"/>
        <v>2</v>
      </c>
      <c r="I155" s="146">
        <f t="shared" si="187"/>
        <v>4.742080785709975</v>
      </c>
      <c r="J155" s="147"/>
      <c r="K155" s="145">
        <f t="shared" si="188"/>
        <v>0</v>
      </c>
      <c r="L155" s="145">
        <f t="shared" si="189"/>
        <v>6</v>
      </c>
      <c r="M155" s="145">
        <f t="shared" si="190"/>
        <v>12.36</v>
      </c>
      <c r="N155" s="145">
        <f t="shared" si="191"/>
        <v>29.306059255687643</v>
      </c>
      <c r="O155" s="145">
        <f t="shared" si="192"/>
        <v>0</v>
      </c>
      <c r="P155" s="145">
        <f t="shared" si="193"/>
        <v>32.9683231428399</v>
      </c>
      <c r="Q155" s="147">
        <f t="shared" si="194"/>
        <v>74.63438239852755</v>
      </c>
      <c r="R155" s="147"/>
      <c r="S155" s="128">
        <f t="shared" si="195"/>
        <v>0.04248765826537298</v>
      </c>
      <c r="T155" s="128">
        <f t="shared" si="196"/>
        <v>0.5496479791472706</v>
      </c>
      <c r="U155" s="145">
        <f t="shared" si="197"/>
        <v>0</v>
      </c>
      <c r="V155" s="145">
        <f t="shared" si="198"/>
        <v>0</v>
      </c>
      <c r="W155" s="128">
        <f t="shared" si="184"/>
        <v>0</v>
      </c>
      <c r="X155" t="str">
        <f t="shared" si="167"/>
        <v>88,18</v>
      </c>
      <c r="Y155" s="151">
        <f t="shared" si="168"/>
        <v>0.04248765826537298</v>
      </c>
      <c r="Z155" s="151">
        <f t="shared" si="169"/>
        <v>0.5496479791472706</v>
      </c>
    </row>
    <row r="156" spans="1:26" ht="12.75">
      <c r="A156" s="141">
        <f>+'SMAW-SMAW'!A156</f>
        <v>139</v>
      </c>
      <c r="B156" s="142">
        <v>8</v>
      </c>
      <c r="C156" s="143">
        <v>219.1</v>
      </c>
      <c r="D156" s="143">
        <v>8.18</v>
      </c>
      <c r="E156" s="144" t="s">
        <v>86</v>
      </c>
      <c r="F156" s="145">
        <f t="shared" si="185"/>
        <v>2</v>
      </c>
      <c r="G156" s="145">
        <f t="shared" si="166"/>
        <v>2</v>
      </c>
      <c r="H156" s="145">
        <f t="shared" si="186"/>
        <v>2</v>
      </c>
      <c r="I156" s="146">
        <f t="shared" si="187"/>
        <v>4.742080785709975</v>
      </c>
      <c r="J156" s="147"/>
      <c r="K156" s="145">
        <f t="shared" si="188"/>
        <v>0</v>
      </c>
      <c r="L156" s="145">
        <f t="shared" si="189"/>
        <v>6</v>
      </c>
      <c r="M156" s="145">
        <f t="shared" si="190"/>
        <v>12.36</v>
      </c>
      <c r="N156" s="145">
        <f t="shared" si="191"/>
        <v>29.306059255687643</v>
      </c>
      <c r="O156" s="145">
        <f t="shared" si="192"/>
        <v>0</v>
      </c>
      <c r="P156" s="145">
        <f t="shared" si="193"/>
        <v>32.9683231428399</v>
      </c>
      <c r="Q156" s="147">
        <f t="shared" si="194"/>
        <v>74.63438239852755</v>
      </c>
      <c r="R156" s="147"/>
      <c r="S156" s="128">
        <f t="shared" si="195"/>
        <v>0.04248765826537298</v>
      </c>
      <c r="T156" s="128">
        <f t="shared" si="196"/>
        <v>0.5496479791472706</v>
      </c>
      <c r="U156" s="145">
        <f t="shared" si="197"/>
        <v>0</v>
      </c>
      <c r="V156" s="145">
        <f t="shared" si="198"/>
        <v>0</v>
      </c>
      <c r="W156" s="128">
        <f t="shared" si="184"/>
        <v>0</v>
      </c>
      <c r="X156" t="str">
        <f t="shared" si="167"/>
        <v>88,18</v>
      </c>
      <c r="Y156" s="151">
        <f t="shared" si="168"/>
        <v>0.04248765826537298</v>
      </c>
      <c r="Z156" s="151">
        <f t="shared" si="169"/>
        <v>0.5496479791472706</v>
      </c>
    </row>
    <row r="157" spans="1:26" ht="12.75">
      <c r="A157" s="141">
        <f>+'SMAW-SMAW'!A157</f>
        <v>140</v>
      </c>
      <c r="B157" s="142">
        <v>8</v>
      </c>
      <c r="C157" s="143">
        <v>219.1</v>
      </c>
      <c r="D157" s="143">
        <v>8.18</v>
      </c>
      <c r="E157" s="144" t="s">
        <v>87</v>
      </c>
      <c r="F157" s="145">
        <f t="shared" si="185"/>
        <v>2</v>
      </c>
      <c r="G157" s="145">
        <f t="shared" si="166"/>
        <v>2</v>
      </c>
      <c r="H157" s="145">
        <f t="shared" si="186"/>
        <v>2</v>
      </c>
      <c r="I157" s="146">
        <f t="shared" si="187"/>
        <v>4.742080785709975</v>
      </c>
      <c r="J157" s="147"/>
      <c r="K157" s="145">
        <f t="shared" si="188"/>
        <v>0</v>
      </c>
      <c r="L157" s="145">
        <f t="shared" si="189"/>
        <v>6</v>
      </c>
      <c r="M157" s="145">
        <f t="shared" si="190"/>
        <v>12.36</v>
      </c>
      <c r="N157" s="145">
        <f t="shared" si="191"/>
        <v>29.306059255687643</v>
      </c>
      <c r="O157" s="145">
        <f t="shared" si="192"/>
        <v>0</v>
      </c>
      <c r="P157" s="145">
        <f t="shared" si="193"/>
        <v>32.9683231428399</v>
      </c>
      <c r="Q157" s="147">
        <f t="shared" si="194"/>
        <v>74.63438239852755</v>
      </c>
      <c r="R157" s="147"/>
      <c r="S157" s="128">
        <f t="shared" si="195"/>
        <v>0.04248765826537298</v>
      </c>
      <c r="T157" s="128">
        <f t="shared" si="196"/>
        <v>0.5496479791472706</v>
      </c>
      <c r="U157" s="145">
        <f t="shared" si="197"/>
        <v>0</v>
      </c>
      <c r="V157" s="145">
        <f t="shared" si="198"/>
        <v>0</v>
      </c>
      <c r="W157" s="128">
        <f t="shared" si="184"/>
        <v>0</v>
      </c>
      <c r="X157" t="str">
        <f t="shared" si="167"/>
        <v>88,18</v>
      </c>
      <c r="Y157" s="151">
        <f t="shared" si="168"/>
        <v>0.04248765826537298</v>
      </c>
      <c r="Z157" s="151">
        <f t="shared" si="169"/>
        <v>0.5496479791472706</v>
      </c>
    </row>
    <row r="158" spans="1:26" ht="12.75">
      <c r="A158" s="141">
        <f>+'SMAW-SMAW'!A158</f>
        <v>141</v>
      </c>
      <c r="B158" s="142">
        <v>8</v>
      </c>
      <c r="C158" s="143">
        <v>219.1</v>
      </c>
      <c r="D158" s="143">
        <v>10.31</v>
      </c>
      <c r="E158" s="144" t="s">
        <v>94</v>
      </c>
      <c r="F158" s="145">
        <f t="shared" si="185"/>
        <v>2</v>
      </c>
      <c r="G158" s="145">
        <f t="shared" si="166"/>
        <v>2</v>
      </c>
      <c r="H158" s="145">
        <f t="shared" si="186"/>
        <v>2</v>
      </c>
      <c r="I158" s="146">
        <f t="shared" si="187"/>
        <v>6.376487270105161</v>
      </c>
      <c r="J158" s="147"/>
      <c r="K158" s="145">
        <f t="shared" si="188"/>
        <v>0</v>
      </c>
      <c r="L158" s="145">
        <f t="shared" si="189"/>
        <v>6</v>
      </c>
      <c r="M158" s="145">
        <f t="shared" si="190"/>
        <v>16.62</v>
      </c>
      <c r="N158" s="145">
        <f t="shared" si="191"/>
        <v>52.98860921457389</v>
      </c>
      <c r="O158" s="145">
        <f t="shared" si="192"/>
        <v>0</v>
      </c>
      <c r="P158" s="145">
        <f t="shared" si="193"/>
        <v>39.50594908042065</v>
      </c>
      <c r="Q158" s="147">
        <f t="shared" si="194"/>
        <v>109.11455829499454</v>
      </c>
      <c r="R158" s="147"/>
      <c r="S158" s="128">
        <f t="shared" si="195"/>
        <v>0.04161217493263384</v>
      </c>
      <c r="T158" s="128">
        <f t="shared" si="196"/>
        <v>0.7995983204459896</v>
      </c>
      <c r="U158" s="145">
        <f t="shared" si="197"/>
        <v>0</v>
      </c>
      <c r="V158" s="145">
        <f t="shared" si="198"/>
        <v>0</v>
      </c>
      <c r="W158" s="128">
        <f t="shared" si="184"/>
        <v>0</v>
      </c>
      <c r="X158" t="str">
        <f t="shared" si="167"/>
        <v>810,31</v>
      </c>
      <c r="Y158" s="151">
        <f t="shared" si="168"/>
        <v>0.04161217493263384</v>
      </c>
      <c r="Z158" s="151">
        <f t="shared" si="169"/>
        <v>0.7995983204459896</v>
      </c>
    </row>
    <row r="159" spans="1:26" ht="12.75">
      <c r="A159" s="141">
        <f>+'SMAW-SMAW'!A159</f>
        <v>142</v>
      </c>
      <c r="B159" s="142">
        <v>8</v>
      </c>
      <c r="C159" s="143">
        <v>219.1</v>
      </c>
      <c r="D159" s="143">
        <v>12.7</v>
      </c>
      <c r="E159" s="144" t="s">
        <v>88</v>
      </c>
      <c r="F159" s="145">
        <f t="shared" si="185"/>
        <v>2</v>
      </c>
      <c r="G159" s="145">
        <f t="shared" si="166"/>
        <v>2</v>
      </c>
      <c r="H159" s="145">
        <f t="shared" si="186"/>
        <v>2</v>
      </c>
      <c r="I159" s="146">
        <f t="shared" si="187"/>
        <v>8.210398771374875</v>
      </c>
      <c r="J159" s="147"/>
      <c r="K159" s="145">
        <f t="shared" si="188"/>
        <v>0</v>
      </c>
      <c r="L159" s="145">
        <f t="shared" si="189"/>
        <v>6</v>
      </c>
      <c r="M159" s="145">
        <f t="shared" si="190"/>
        <v>21.4</v>
      </c>
      <c r="N159" s="145">
        <f t="shared" si="191"/>
        <v>87.85126685371115</v>
      </c>
      <c r="O159" s="145">
        <f t="shared" si="192"/>
        <v>0</v>
      </c>
      <c r="P159" s="145">
        <f t="shared" si="193"/>
        <v>46.8415950854995</v>
      </c>
      <c r="Q159" s="147">
        <f t="shared" si="194"/>
        <v>156.09286193921065</v>
      </c>
      <c r="R159" s="147"/>
      <c r="S159" s="128">
        <f t="shared" si="195"/>
        <v>0.04062982508979509</v>
      </c>
      <c r="T159" s="128">
        <f t="shared" si="196"/>
        <v>1.1374691983393757</v>
      </c>
      <c r="U159" s="145">
        <f t="shared" si="197"/>
        <v>0</v>
      </c>
      <c r="V159" s="145">
        <f t="shared" si="198"/>
        <v>0</v>
      </c>
      <c r="W159" s="128">
        <f t="shared" si="184"/>
        <v>0</v>
      </c>
      <c r="X159" t="str">
        <f t="shared" si="167"/>
        <v>812,7</v>
      </c>
      <c r="Y159" s="151">
        <f t="shared" si="168"/>
        <v>0.04062982508979509</v>
      </c>
      <c r="Z159" s="151">
        <f t="shared" si="169"/>
        <v>1.1374691983393757</v>
      </c>
    </row>
    <row r="160" spans="1:26" ht="12.75">
      <c r="A160" s="141">
        <f>+'SMAW-SMAW'!A160</f>
        <v>143</v>
      </c>
      <c r="B160" s="142">
        <v>8</v>
      </c>
      <c r="C160" s="143">
        <v>219.1</v>
      </c>
      <c r="D160" s="143">
        <v>12.7</v>
      </c>
      <c r="E160" s="144" t="s">
        <v>82</v>
      </c>
      <c r="F160" s="145">
        <f t="shared" si="185"/>
        <v>2</v>
      </c>
      <c r="G160" s="145">
        <f t="shared" si="166"/>
        <v>2</v>
      </c>
      <c r="H160" s="145">
        <f t="shared" si="186"/>
        <v>2</v>
      </c>
      <c r="I160" s="146">
        <f t="shared" si="187"/>
        <v>8.210398771374875</v>
      </c>
      <c r="J160" s="147"/>
      <c r="K160" s="145">
        <f t="shared" si="188"/>
        <v>0</v>
      </c>
      <c r="L160" s="145">
        <f t="shared" si="189"/>
        <v>6</v>
      </c>
      <c r="M160" s="145">
        <f t="shared" si="190"/>
        <v>21.4</v>
      </c>
      <c r="N160" s="145">
        <f t="shared" si="191"/>
        <v>87.85126685371115</v>
      </c>
      <c r="O160" s="145">
        <f t="shared" si="192"/>
        <v>0</v>
      </c>
      <c r="P160" s="145">
        <f t="shared" si="193"/>
        <v>46.8415950854995</v>
      </c>
      <c r="Q160" s="147">
        <f t="shared" si="194"/>
        <v>156.09286193921065</v>
      </c>
      <c r="R160" s="147"/>
      <c r="S160" s="128">
        <f t="shared" si="195"/>
        <v>0.04062982508979509</v>
      </c>
      <c r="T160" s="128">
        <f t="shared" si="196"/>
        <v>1.1374691983393757</v>
      </c>
      <c r="U160" s="145">
        <f t="shared" si="197"/>
        <v>0</v>
      </c>
      <c r="V160" s="145">
        <f t="shared" si="198"/>
        <v>0</v>
      </c>
      <c r="W160" s="128">
        <f t="shared" si="184"/>
        <v>0</v>
      </c>
      <c r="X160" t="str">
        <f t="shared" si="167"/>
        <v>812,7</v>
      </c>
      <c r="Y160" s="151">
        <f t="shared" si="168"/>
        <v>0.04062982508979509</v>
      </c>
      <c r="Z160" s="151">
        <f t="shared" si="169"/>
        <v>1.1374691983393757</v>
      </c>
    </row>
    <row r="161" spans="1:26" ht="12.75">
      <c r="A161" s="141">
        <f>+'SMAW-SMAW'!A161</f>
        <v>144</v>
      </c>
      <c r="B161" s="142">
        <v>8</v>
      </c>
      <c r="C161" s="143">
        <v>219.1</v>
      </c>
      <c r="D161" s="143">
        <v>12.7</v>
      </c>
      <c r="E161" s="144" t="s">
        <v>89</v>
      </c>
      <c r="F161" s="145">
        <f t="shared" si="185"/>
        <v>2</v>
      </c>
      <c r="G161" s="145">
        <f t="shared" si="166"/>
        <v>2</v>
      </c>
      <c r="H161" s="145">
        <f t="shared" si="186"/>
        <v>2</v>
      </c>
      <c r="I161" s="146">
        <f t="shared" si="187"/>
        <v>8.210398771374875</v>
      </c>
      <c r="J161" s="147"/>
      <c r="K161" s="145">
        <f t="shared" si="188"/>
        <v>0</v>
      </c>
      <c r="L161" s="145">
        <f t="shared" si="189"/>
        <v>6</v>
      </c>
      <c r="M161" s="145">
        <f t="shared" si="190"/>
        <v>21.4</v>
      </c>
      <c r="N161" s="145">
        <f t="shared" si="191"/>
        <v>87.85126685371115</v>
      </c>
      <c r="O161" s="145">
        <f t="shared" si="192"/>
        <v>0</v>
      </c>
      <c r="P161" s="145">
        <f t="shared" si="193"/>
        <v>46.8415950854995</v>
      </c>
      <c r="Q161" s="147">
        <f t="shared" si="194"/>
        <v>156.09286193921065</v>
      </c>
      <c r="R161" s="147"/>
      <c r="S161" s="128">
        <f t="shared" si="195"/>
        <v>0.04062982508979509</v>
      </c>
      <c r="T161" s="128">
        <f t="shared" si="196"/>
        <v>1.1374691983393757</v>
      </c>
      <c r="U161" s="145">
        <f t="shared" si="197"/>
        <v>0</v>
      </c>
      <c r="V161" s="145">
        <f t="shared" si="198"/>
        <v>0</v>
      </c>
      <c r="W161" s="128">
        <f t="shared" si="184"/>
        <v>0</v>
      </c>
      <c r="X161" t="str">
        <f t="shared" si="167"/>
        <v>812,7</v>
      </c>
      <c r="Y161" s="151">
        <f t="shared" si="168"/>
        <v>0.04062982508979509</v>
      </c>
      <c r="Z161" s="151">
        <f t="shared" si="169"/>
        <v>1.1374691983393757</v>
      </c>
    </row>
    <row r="162" spans="1:26" ht="12.75">
      <c r="A162" s="141">
        <f>+'SMAW-SMAW'!A162</f>
        <v>145</v>
      </c>
      <c r="B162" s="142">
        <v>8</v>
      </c>
      <c r="C162" s="143">
        <v>219.1</v>
      </c>
      <c r="D162" s="143">
        <v>15.09</v>
      </c>
      <c r="E162" s="144" t="s">
        <v>95</v>
      </c>
      <c r="F162" s="145">
        <f t="shared" si="185"/>
        <v>2</v>
      </c>
      <c r="G162" s="145">
        <f t="shared" si="166"/>
        <v>2</v>
      </c>
      <c r="H162" s="145">
        <f t="shared" si="186"/>
        <v>2</v>
      </c>
      <c r="I162" s="146">
        <f t="shared" si="187"/>
        <v>10.04431027264459</v>
      </c>
      <c r="J162" s="147"/>
      <c r="K162" s="145">
        <f t="shared" si="188"/>
        <v>0</v>
      </c>
      <c r="L162" s="145">
        <f t="shared" si="189"/>
        <v>6</v>
      </c>
      <c r="M162" s="145">
        <f t="shared" si="190"/>
        <v>26.18</v>
      </c>
      <c r="N162" s="145">
        <f t="shared" si="191"/>
        <v>131.4800214689177</v>
      </c>
      <c r="O162" s="145">
        <f t="shared" si="192"/>
        <v>0</v>
      </c>
      <c r="P162" s="145">
        <f t="shared" si="193"/>
        <v>54.17724109057836</v>
      </c>
      <c r="Q162" s="147">
        <f t="shared" si="194"/>
        <v>211.83726255949608</v>
      </c>
      <c r="R162" s="147"/>
      <c r="S162" s="128">
        <f t="shared" si="195"/>
        <v>0.03964747524695634</v>
      </c>
      <c r="T162" s="128">
        <f t="shared" si="196"/>
        <v>1.5350152089027391</v>
      </c>
      <c r="U162" s="145">
        <f t="shared" si="197"/>
        <v>0</v>
      </c>
      <c r="V162" s="145">
        <f t="shared" si="198"/>
        <v>0</v>
      </c>
      <c r="W162" s="128">
        <f t="shared" si="184"/>
        <v>0</v>
      </c>
      <c r="X162" t="str">
        <f t="shared" si="167"/>
        <v>815,09</v>
      </c>
      <c r="Y162" s="151">
        <f t="shared" si="168"/>
        <v>0.03964747524695634</v>
      </c>
      <c r="Z162" s="151">
        <f t="shared" si="169"/>
        <v>1.5350152089027391</v>
      </c>
    </row>
    <row r="163" spans="1:26" ht="12.75">
      <c r="A163" s="141">
        <f>+'SMAW-SMAW'!A163</f>
        <v>146</v>
      </c>
      <c r="B163" s="142">
        <v>8</v>
      </c>
      <c r="C163" s="143">
        <v>219.1</v>
      </c>
      <c r="D163" s="143">
        <v>18.26</v>
      </c>
      <c r="E163" s="144" t="s">
        <v>91</v>
      </c>
      <c r="F163" s="145">
        <f t="shared" si="185"/>
        <v>2</v>
      </c>
      <c r="G163" s="145">
        <f t="shared" si="166"/>
        <v>2</v>
      </c>
      <c r="H163" s="145">
        <f t="shared" si="186"/>
        <v>2</v>
      </c>
      <c r="I163" s="146">
        <f t="shared" si="187"/>
        <v>12.476736824537896</v>
      </c>
      <c r="J163" s="147"/>
      <c r="K163" s="145">
        <f t="shared" si="188"/>
        <v>0</v>
      </c>
      <c r="L163" s="145">
        <f t="shared" si="189"/>
        <v>6</v>
      </c>
      <c r="M163" s="145">
        <f t="shared" si="190"/>
        <v>32.52</v>
      </c>
      <c r="N163" s="145">
        <f t="shared" si="191"/>
        <v>202.87174076698622</v>
      </c>
      <c r="O163" s="145">
        <f t="shared" si="192"/>
        <v>0</v>
      </c>
      <c r="P163" s="145">
        <f t="shared" si="193"/>
        <v>63.906947298151586</v>
      </c>
      <c r="Q163" s="147">
        <f t="shared" si="194"/>
        <v>299.2986880651378</v>
      </c>
      <c r="R163" s="147"/>
      <c r="S163" s="128">
        <f t="shared" si="195"/>
        <v>0.03834452587381876</v>
      </c>
      <c r="T163" s="128">
        <f t="shared" si="196"/>
        <v>2.152529412405062</v>
      </c>
      <c r="U163" s="145">
        <f t="shared" si="197"/>
        <v>0</v>
      </c>
      <c r="V163" s="145">
        <f t="shared" si="198"/>
        <v>0</v>
      </c>
      <c r="W163" s="128">
        <f t="shared" si="184"/>
        <v>0</v>
      </c>
      <c r="X163" t="str">
        <f t="shared" si="167"/>
        <v>818,26</v>
      </c>
      <c r="Y163" s="151">
        <f t="shared" si="168"/>
        <v>0.03834452587381876</v>
      </c>
      <c r="Z163" s="151">
        <f t="shared" si="169"/>
        <v>2.152529412405062</v>
      </c>
    </row>
    <row r="164" spans="1:26" ht="12.75">
      <c r="A164" s="141">
        <f>+'SMAW-SMAW'!A164</f>
        <v>147</v>
      </c>
      <c r="B164" s="142">
        <v>8</v>
      </c>
      <c r="C164" s="143">
        <v>219.1</v>
      </c>
      <c r="D164" s="143">
        <v>20.62</v>
      </c>
      <c r="E164" s="144" t="s">
        <v>96</v>
      </c>
      <c r="F164" s="145">
        <f t="shared" si="185"/>
        <v>2</v>
      </c>
      <c r="G164" s="145">
        <f t="shared" si="166"/>
        <v>2</v>
      </c>
      <c r="H164" s="145">
        <f t="shared" si="186"/>
        <v>3</v>
      </c>
      <c r="I164" s="146">
        <f t="shared" si="187"/>
        <v>13.044558795642326</v>
      </c>
      <c r="J164" s="147"/>
      <c r="K164" s="145">
        <f t="shared" si="188"/>
        <v>0.28564970874771345</v>
      </c>
      <c r="L164" s="145">
        <f t="shared" si="189"/>
        <v>6</v>
      </c>
      <c r="M164" s="145">
        <f t="shared" si="190"/>
        <v>37.24</v>
      </c>
      <c r="N164" s="145">
        <f t="shared" si="191"/>
        <v>221.75749952591954</v>
      </c>
      <c r="O164" s="145">
        <f t="shared" si="192"/>
        <v>42.72712302605245</v>
      </c>
      <c r="P164" s="145">
        <f t="shared" si="193"/>
        <v>100.98125102634023</v>
      </c>
      <c r="Q164" s="147">
        <f t="shared" si="194"/>
        <v>402.7058735783122</v>
      </c>
      <c r="R164" s="147"/>
      <c r="S164" s="128">
        <f t="shared" si="195"/>
        <v>0.03737450678214534</v>
      </c>
      <c r="T164" s="128">
        <f t="shared" si="196"/>
        <v>2.8799482983862648</v>
      </c>
      <c r="U164" s="145">
        <f t="shared" si="197"/>
        <v>0</v>
      </c>
      <c r="V164" s="145">
        <f t="shared" si="198"/>
        <v>0</v>
      </c>
      <c r="W164" s="128">
        <f t="shared" si="184"/>
        <v>0</v>
      </c>
      <c r="X164" t="str">
        <f t="shared" si="167"/>
        <v>820,62</v>
      </c>
      <c r="Y164" s="151">
        <f t="shared" si="168"/>
        <v>0.03737450678214534</v>
      </c>
      <c r="Z164" s="151">
        <f t="shared" si="169"/>
        <v>2.8799482983862648</v>
      </c>
    </row>
    <row r="165" spans="1:26" ht="12.75">
      <c r="A165" s="141">
        <f>+'SMAW-SMAW'!A165</f>
        <v>148</v>
      </c>
      <c r="B165" s="142">
        <v>8</v>
      </c>
      <c r="C165" s="143">
        <v>219.1</v>
      </c>
      <c r="D165" s="143">
        <v>23.01</v>
      </c>
      <c r="E165" s="144" t="s">
        <v>90</v>
      </c>
      <c r="F165" s="145">
        <f t="shared" si="185"/>
        <v>2</v>
      </c>
      <c r="G165" s="145">
        <f t="shared" si="166"/>
        <v>2</v>
      </c>
      <c r="H165" s="145">
        <f t="shared" si="186"/>
        <v>3</v>
      </c>
      <c r="I165" s="146">
        <f t="shared" si="187"/>
        <v>13.044558795642326</v>
      </c>
      <c r="J165" s="147"/>
      <c r="K165" s="145">
        <f t="shared" si="188"/>
        <v>0.7070711926409449</v>
      </c>
      <c r="L165" s="145">
        <f t="shared" si="189"/>
        <v>6</v>
      </c>
      <c r="M165" s="145">
        <f t="shared" si="190"/>
        <v>42.02</v>
      </c>
      <c r="N165" s="145">
        <f t="shared" si="191"/>
        <v>221.75749952591954</v>
      </c>
      <c r="O165" s="145">
        <f t="shared" si="192"/>
        <v>107.45271702354168</v>
      </c>
      <c r="P165" s="145">
        <f t="shared" si="193"/>
        <v>103.50977992969962</v>
      </c>
      <c r="Q165" s="147">
        <f t="shared" si="194"/>
        <v>474.7399964791609</v>
      </c>
      <c r="R165" s="147"/>
      <c r="S165" s="128">
        <f t="shared" si="195"/>
        <v>0.0363921569393066</v>
      </c>
      <c r="T165" s="128">
        <f t="shared" si="196"/>
        <v>3.375668136868272</v>
      </c>
      <c r="U165" s="145">
        <f t="shared" si="197"/>
        <v>0</v>
      </c>
      <c r="V165" s="145">
        <f t="shared" si="198"/>
        <v>0</v>
      </c>
      <c r="W165" s="128">
        <f t="shared" si="184"/>
        <v>0</v>
      </c>
      <c r="X165" t="str">
        <f t="shared" si="167"/>
        <v>823,01</v>
      </c>
      <c r="Y165" s="151">
        <f t="shared" si="168"/>
        <v>0.0363921569393066</v>
      </c>
      <c r="Z165" s="151">
        <f t="shared" si="169"/>
        <v>3.375668136868272</v>
      </c>
    </row>
    <row r="166" spans="1:26" ht="12.75">
      <c r="A166" s="141">
        <f>+'SMAW-SMAW'!A166</f>
        <v>149</v>
      </c>
      <c r="B166" s="142">
        <v>8</v>
      </c>
      <c r="C166" s="143">
        <v>219.1</v>
      </c>
      <c r="D166" s="143">
        <v>22.221</v>
      </c>
      <c r="E166" s="144" t="s">
        <v>83</v>
      </c>
      <c r="F166" s="145">
        <f t="shared" si="185"/>
        <v>2</v>
      </c>
      <c r="G166" s="145">
        <f t="shared" si="166"/>
        <v>2</v>
      </c>
      <c r="H166" s="145">
        <f t="shared" si="186"/>
        <v>3</v>
      </c>
      <c r="I166" s="146">
        <f t="shared" si="187"/>
        <v>13.044558795642326</v>
      </c>
      <c r="J166" s="147"/>
      <c r="K166" s="145">
        <f t="shared" si="188"/>
        <v>0.5679492048619657</v>
      </c>
      <c r="L166" s="145">
        <f t="shared" si="189"/>
        <v>6</v>
      </c>
      <c r="M166" s="145">
        <f t="shared" si="190"/>
        <v>40.442</v>
      </c>
      <c r="N166" s="145">
        <f t="shared" si="191"/>
        <v>221.75749952591954</v>
      </c>
      <c r="O166" s="145">
        <f t="shared" si="192"/>
        <v>85.86241215038827</v>
      </c>
      <c r="P166" s="145">
        <f t="shared" si="193"/>
        <v>102.67504800302575</v>
      </c>
      <c r="Q166" s="147">
        <f t="shared" si="194"/>
        <v>450.7369596793335</v>
      </c>
      <c r="R166" s="147"/>
      <c r="S166" s="128">
        <f t="shared" si="195"/>
        <v>0.03671645569495504</v>
      </c>
      <c r="T166" s="128">
        <f t="shared" si="196"/>
        <v>3.2110836174350346</v>
      </c>
      <c r="U166" s="145">
        <f t="shared" si="197"/>
        <v>0</v>
      </c>
      <c r="V166" s="145">
        <f t="shared" si="198"/>
        <v>0</v>
      </c>
      <c r="W166" s="128">
        <f t="shared" si="184"/>
        <v>0</v>
      </c>
      <c r="X166" t="str">
        <f t="shared" si="167"/>
        <v>822,221</v>
      </c>
      <c r="Y166" s="151">
        <f t="shared" si="168"/>
        <v>0.03671645569495504</v>
      </c>
      <c r="Z166" s="151">
        <f t="shared" si="169"/>
        <v>3.2110836174350346</v>
      </c>
    </row>
    <row r="167" spans="1:26" ht="12.75">
      <c r="A167" s="141">
        <f>+'SMAW-SMAW'!A167</f>
        <v>150</v>
      </c>
      <c r="B167" s="142"/>
      <c r="C167" s="143"/>
      <c r="D167" s="143"/>
      <c r="E167" s="144"/>
      <c r="F167" s="145"/>
      <c r="G167" s="145">
        <f t="shared" si="166"/>
        <v>0</v>
      </c>
      <c r="H167" s="145"/>
      <c r="I167" s="146"/>
      <c r="J167" s="147"/>
      <c r="K167" s="145"/>
      <c r="L167" s="145"/>
      <c r="M167" s="145"/>
      <c r="N167" s="145"/>
      <c r="O167" s="145"/>
      <c r="P167" s="145"/>
      <c r="Q167" s="147"/>
      <c r="R167" s="147"/>
      <c r="S167" s="128"/>
      <c r="T167" s="128"/>
      <c r="U167" s="145"/>
      <c r="V167" s="145"/>
      <c r="W167" s="128">
        <f t="shared" si="184"/>
        <v>0</v>
      </c>
      <c r="X167">
        <f t="shared" si="167"/>
      </c>
      <c r="Y167" s="151">
        <f t="shared" si="168"/>
        <v>0</v>
      </c>
      <c r="Z167" s="151">
        <f t="shared" si="169"/>
        <v>0</v>
      </c>
    </row>
    <row r="168" spans="1:26" ht="12.75">
      <c r="A168" s="141">
        <f>+'SMAW-SMAW'!A168</f>
        <v>151</v>
      </c>
      <c r="B168" s="142">
        <v>10</v>
      </c>
      <c r="C168" s="143">
        <v>273</v>
      </c>
      <c r="D168" s="143">
        <v>3.4</v>
      </c>
      <c r="E168" s="144" t="s">
        <v>81</v>
      </c>
      <c r="F168" s="145">
        <f aca="true" t="shared" si="199" ref="F168:F183">IF($D$6=1,2,3)</f>
        <v>2</v>
      </c>
      <c r="G168" s="145">
        <f t="shared" si="166"/>
        <v>2</v>
      </c>
      <c r="H168" s="145">
        <f aca="true" t="shared" si="200" ref="H168:H183">IF(D168&lt;=19,2,3)</f>
        <v>2</v>
      </c>
      <c r="I168" s="146">
        <f aca="true" t="shared" si="201" ref="I168:I183">IF(D168&lt;=19,(D168-G168)*TAN($C$8*PI()/180),(19-G168)*TAN($C$8*PI()/180))</f>
        <v>1.0742577831705444</v>
      </c>
      <c r="J168" s="147"/>
      <c r="K168" s="145">
        <f aca="true" t="shared" si="202" ref="K168:K183">IF(D168&lt;=19,0,(D168-19)*TAN($C$10*PI()/180))</f>
        <v>0</v>
      </c>
      <c r="L168" s="145">
        <f aca="true" t="shared" si="203" ref="L168:L183">+F168*(G168*1.5)</f>
        <v>6</v>
      </c>
      <c r="M168" s="145">
        <f aca="true" t="shared" si="204" ref="M168:M183">+F168*(D168-G168)</f>
        <v>2.8</v>
      </c>
      <c r="N168" s="145">
        <f aca="true" t="shared" si="205" ref="N168:N183">IF(D168&lt;=19,(D168-G168)*I168,(19-G168)*I168)</f>
        <v>1.503960896438762</v>
      </c>
      <c r="O168" s="145">
        <f aca="true" t="shared" si="206" ref="O168:O183">IF(D168&lt;=19,0,(I168*(D168-19)*2)+((K168)*(D168-19)))</f>
        <v>0</v>
      </c>
      <c r="P168" s="145">
        <f aca="true" t="shared" si="207" ref="P168:P183">+(5+F168+(2*(I168+K168)))*H168</f>
        <v>18.29703113268218</v>
      </c>
      <c r="Q168" s="147">
        <f aca="true" t="shared" si="208" ref="Q168:Q183">SUM(M168:P168)</f>
        <v>22.60099202912094</v>
      </c>
      <c r="R168" s="147"/>
      <c r="S168" s="128">
        <f aca="true" t="shared" si="209" ref="S168:S183">IF(D$6=1,(PI()*(C168-(2*D168)+(2*G168))*L168*0.1*0.01*7.85*0.001/(S$16*S$17)),0)</f>
        <v>0.05552948274791418</v>
      </c>
      <c r="T168" s="128">
        <f aca="true" t="shared" si="210" ref="T168:T183">IF(D$6=1,(PI()*(C168-(0.5*D168))*(Q168)*0.1*0.01*7.85*0.001/(T$16*T$17)),0)</f>
        <v>0.21002177707691685</v>
      </c>
      <c r="U168" s="145">
        <f aca="true" t="shared" si="211" ref="U168:U183">IF(D$6=1,0,(PI()*(C168-(2*D168)+(2*G168))*L168*0.1*0.01*7.85*0.001/(U$16*U$17)))</f>
        <v>0</v>
      </c>
      <c r="V168" s="145">
        <f aca="true" t="shared" si="212" ref="V168:V183">IF(D$6=1,0,(PI()*(C168-(0.5*D168))*(Q168)*0.1*0.01*7.85*0.001/(V$16*V$17)))</f>
        <v>0</v>
      </c>
      <c r="W168" s="128">
        <f t="shared" si="184"/>
        <v>0</v>
      </c>
      <c r="X168" t="str">
        <f t="shared" si="167"/>
        <v>103,4</v>
      </c>
      <c r="Y168" s="151">
        <f t="shared" si="168"/>
        <v>0.05552948274791418</v>
      </c>
      <c r="Z168" s="151">
        <f t="shared" si="169"/>
        <v>0.21002177707691685</v>
      </c>
    </row>
    <row r="169" spans="1:26" ht="12.75">
      <c r="A169" s="141">
        <f>+'SMAW-SMAW'!A169</f>
        <v>152</v>
      </c>
      <c r="B169" s="142">
        <v>10</v>
      </c>
      <c r="C169" s="143">
        <v>273</v>
      </c>
      <c r="D169" s="143">
        <v>4.19</v>
      </c>
      <c r="E169" s="144" t="s">
        <v>84</v>
      </c>
      <c r="F169" s="145">
        <f t="shared" si="199"/>
        <v>2</v>
      </c>
      <c r="G169" s="145">
        <f aca="true" t="shared" si="213" ref="G169:G200">IF(D169&lt;2,D169,2)</f>
        <v>2</v>
      </c>
      <c r="H169" s="145">
        <f t="shared" si="200"/>
        <v>2</v>
      </c>
      <c r="I169" s="146">
        <f t="shared" si="201"/>
        <v>1.6804461036739236</v>
      </c>
      <c r="J169" s="147"/>
      <c r="K169" s="145">
        <f t="shared" si="202"/>
        <v>0</v>
      </c>
      <c r="L169" s="145">
        <f t="shared" si="203"/>
        <v>6</v>
      </c>
      <c r="M169" s="145">
        <f t="shared" si="204"/>
        <v>4.380000000000001</v>
      </c>
      <c r="N169" s="145">
        <f t="shared" si="205"/>
        <v>3.680176967045893</v>
      </c>
      <c r="O169" s="145">
        <f t="shared" si="206"/>
        <v>0</v>
      </c>
      <c r="P169" s="145">
        <f t="shared" si="207"/>
        <v>20.721784414695694</v>
      </c>
      <c r="Q169" s="147">
        <f t="shared" si="208"/>
        <v>28.78196138174159</v>
      </c>
      <c r="R169" s="147"/>
      <c r="S169" s="128">
        <f t="shared" si="209"/>
        <v>0.055204772967226895</v>
      </c>
      <c r="T169" s="128">
        <f t="shared" si="210"/>
        <v>0.26706959010729553</v>
      </c>
      <c r="U169" s="145">
        <f t="shared" si="211"/>
        <v>0</v>
      </c>
      <c r="V169" s="145">
        <f t="shared" si="212"/>
        <v>0</v>
      </c>
      <c r="W169" s="128">
        <f t="shared" si="184"/>
        <v>0</v>
      </c>
      <c r="X169" t="str">
        <f t="shared" si="167"/>
        <v>104,19</v>
      </c>
      <c r="Y169" s="151">
        <f t="shared" si="168"/>
        <v>0.055204772967226895</v>
      </c>
      <c r="Z169" s="151">
        <f t="shared" si="169"/>
        <v>0.26706959010729553</v>
      </c>
    </row>
    <row r="170" spans="1:26" ht="12.75">
      <c r="A170" s="141">
        <f>+'SMAW-SMAW'!A170</f>
        <v>153</v>
      </c>
      <c r="B170" s="142">
        <v>10</v>
      </c>
      <c r="C170" s="143">
        <v>273</v>
      </c>
      <c r="D170" s="143">
        <v>6.35</v>
      </c>
      <c r="E170" s="144" t="s">
        <v>92</v>
      </c>
      <c r="F170" s="145">
        <f t="shared" si="199"/>
        <v>2</v>
      </c>
      <c r="G170" s="145">
        <f t="shared" si="213"/>
        <v>2</v>
      </c>
      <c r="H170" s="145">
        <f t="shared" si="200"/>
        <v>2</v>
      </c>
      <c r="I170" s="146">
        <f t="shared" si="201"/>
        <v>3.337872397708477</v>
      </c>
      <c r="J170" s="147"/>
      <c r="K170" s="145">
        <f t="shared" si="202"/>
        <v>0</v>
      </c>
      <c r="L170" s="145">
        <f t="shared" si="203"/>
        <v>6</v>
      </c>
      <c r="M170" s="145">
        <f t="shared" si="204"/>
        <v>8.7</v>
      </c>
      <c r="N170" s="145">
        <f t="shared" si="205"/>
        <v>14.519744930031875</v>
      </c>
      <c r="O170" s="145">
        <f t="shared" si="206"/>
        <v>0</v>
      </c>
      <c r="P170" s="145">
        <f t="shared" si="207"/>
        <v>27.351489590833907</v>
      </c>
      <c r="Q170" s="147">
        <f t="shared" si="208"/>
        <v>50.57123452086578</v>
      </c>
      <c r="R170" s="147"/>
      <c r="S170" s="128">
        <f t="shared" si="209"/>
        <v>0.05431695888332242</v>
      </c>
      <c r="T170" s="128">
        <f t="shared" si="210"/>
        <v>0.46738285194764717</v>
      </c>
      <c r="U170" s="145">
        <f t="shared" si="211"/>
        <v>0</v>
      </c>
      <c r="V170" s="145">
        <f t="shared" si="212"/>
        <v>0</v>
      </c>
      <c r="W170" s="128">
        <f t="shared" si="184"/>
        <v>0</v>
      </c>
      <c r="X170" t="str">
        <f t="shared" si="167"/>
        <v>106,35</v>
      </c>
      <c r="Y170" s="151">
        <f t="shared" si="168"/>
        <v>0.05431695888332242</v>
      </c>
      <c r="Z170" s="151">
        <f t="shared" si="169"/>
        <v>0.46738285194764717</v>
      </c>
    </row>
    <row r="171" spans="1:26" ht="12.75">
      <c r="A171" s="141">
        <f>+'SMAW-SMAW'!A171</f>
        <v>154</v>
      </c>
      <c r="B171" s="142">
        <v>10</v>
      </c>
      <c r="C171" s="143">
        <v>273</v>
      </c>
      <c r="D171" s="143">
        <v>7.8</v>
      </c>
      <c r="E171" s="144" t="s">
        <v>93</v>
      </c>
      <c r="F171" s="145">
        <f t="shared" si="199"/>
        <v>2</v>
      </c>
      <c r="G171" s="145">
        <f t="shared" si="213"/>
        <v>2</v>
      </c>
      <c r="H171" s="145">
        <f t="shared" si="200"/>
        <v>2</v>
      </c>
      <c r="I171" s="146">
        <f t="shared" si="201"/>
        <v>4.45049653027797</v>
      </c>
      <c r="J171" s="147"/>
      <c r="K171" s="145">
        <f t="shared" si="202"/>
        <v>0</v>
      </c>
      <c r="L171" s="145">
        <f t="shared" si="203"/>
        <v>6</v>
      </c>
      <c r="M171" s="145">
        <f t="shared" si="204"/>
        <v>11.6</v>
      </c>
      <c r="N171" s="145">
        <f t="shared" si="205"/>
        <v>25.812879875612225</v>
      </c>
      <c r="O171" s="145">
        <f t="shared" si="206"/>
        <v>0</v>
      </c>
      <c r="P171" s="145">
        <f t="shared" si="207"/>
        <v>31.80198612111188</v>
      </c>
      <c r="Q171" s="147">
        <f t="shared" si="208"/>
        <v>69.21486599672411</v>
      </c>
      <c r="R171" s="147"/>
      <c r="S171" s="128">
        <f t="shared" si="209"/>
        <v>0.053720972576997664</v>
      </c>
      <c r="T171" s="128">
        <f t="shared" si="210"/>
        <v>0.6379697889370953</v>
      </c>
      <c r="U171" s="145">
        <f t="shared" si="211"/>
        <v>0</v>
      </c>
      <c r="V171" s="145">
        <f t="shared" si="212"/>
        <v>0</v>
      </c>
      <c r="W171" s="128">
        <f t="shared" si="184"/>
        <v>0</v>
      </c>
      <c r="X171" t="str">
        <f t="shared" si="167"/>
        <v>107,8</v>
      </c>
      <c r="Y171" s="151">
        <f t="shared" si="168"/>
        <v>0.053720972576997664</v>
      </c>
      <c r="Z171" s="151">
        <f t="shared" si="169"/>
        <v>0.6379697889370953</v>
      </c>
    </row>
    <row r="172" spans="1:26" ht="12.75">
      <c r="A172" s="141">
        <f>+'SMAW-SMAW'!A172</f>
        <v>155</v>
      </c>
      <c r="B172" s="142">
        <v>10</v>
      </c>
      <c r="C172" s="143">
        <v>273</v>
      </c>
      <c r="D172" s="143">
        <v>9.27</v>
      </c>
      <c r="E172" s="144" t="s">
        <v>85</v>
      </c>
      <c r="F172" s="145">
        <f t="shared" si="199"/>
        <v>2</v>
      </c>
      <c r="G172" s="145">
        <f t="shared" si="213"/>
        <v>2</v>
      </c>
      <c r="H172" s="145">
        <f t="shared" si="200"/>
        <v>2</v>
      </c>
      <c r="I172" s="146">
        <f t="shared" si="201"/>
        <v>5.578467202607041</v>
      </c>
      <c r="J172" s="147"/>
      <c r="K172" s="145">
        <f t="shared" si="202"/>
        <v>0</v>
      </c>
      <c r="L172" s="145">
        <f t="shared" si="203"/>
        <v>6</v>
      </c>
      <c r="M172" s="145">
        <f t="shared" si="204"/>
        <v>14.54</v>
      </c>
      <c r="N172" s="145">
        <f t="shared" si="205"/>
        <v>40.55545656295319</v>
      </c>
      <c r="O172" s="145">
        <f t="shared" si="206"/>
        <v>0</v>
      </c>
      <c r="P172" s="145">
        <f t="shared" si="207"/>
        <v>36.31386881042816</v>
      </c>
      <c r="Q172" s="147">
        <f t="shared" si="208"/>
        <v>91.40932537338135</v>
      </c>
      <c r="R172" s="147"/>
      <c r="S172" s="128">
        <f t="shared" si="209"/>
        <v>0.053116765769896004</v>
      </c>
      <c r="T172" s="128">
        <f t="shared" si="210"/>
        <v>0.8402401142220108</v>
      </c>
      <c r="U172" s="145">
        <f t="shared" si="211"/>
        <v>0</v>
      </c>
      <c r="V172" s="145">
        <f t="shared" si="212"/>
        <v>0</v>
      </c>
      <c r="W172" s="128">
        <f t="shared" si="184"/>
        <v>0</v>
      </c>
      <c r="X172" t="str">
        <f t="shared" si="167"/>
        <v>109,27</v>
      </c>
      <c r="Y172" s="151">
        <f t="shared" si="168"/>
        <v>0.053116765769896004</v>
      </c>
      <c r="Z172" s="151">
        <f t="shared" si="169"/>
        <v>0.8402401142220108</v>
      </c>
    </row>
    <row r="173" spans="1:26" ht="12.75">
      <c r="A173" s="141">
        <f>+'SMAW-SMAW'!A173</f>
        <v>156</v>
      </c>
      <c r="B173" s="142">
        <v>10</v>
      </c>
      <c r="C173" s="143">
        <v>273</v>
      </c>
      <c r="D173" s="143">
        <v>9.27</v>
      </c>
      <c r="E173" s="144" t="s">
        <v>86</v>
      </c>
      <c r="F173" s="145">
        <f t="shared" si="199"/>
        <v>2</v>
      </c>
      <c r="G173" s="145">
        <f t="shared" si="213"/>
        <v>2</v>
      </c>
      <c r="H173" s="145">
        <f t="shared" si="200"/>
        <v>2</v>
      </c>
      <c r="I173" s="146">
        <f t="shared" si="201"/>
        <v>5.578467202607041</v>
      </c>
      <c r="J173" s="147"/>
      <c r="K173" s="145">
        <f t="shared" si="202"/>
        <v>0</v>
      </c>
      <c r="L173" s="145">
        <f t="shared" si="203"/>
        <v>6</v>
      </c>
      <c r="M173" s="145">
        <f t="shared" si="204"/>
        <v>14.54</v>
      </c>
      <c r="N173" s="145">
        <f t="shared" si="205"/>
        <v>40.55545656295319</v>
      </c>
      <c r="O173" s="145">
        <f t="shared" si="206"/>
        <v>0</v>
      </c>
      <c r="P173" s="145">
        <f t="shared" si="207"/>
        <v>36.31386881042816</v>
      </c>
      <c r="Q173" s="147">
        <f t="shared" si="208"/>
        <v>91.40932537338135</v>
      </c>
      <c r="R173" s="147"/>
      <c r="S173" s="128">
        <f t="shared" si="209"/>
        <v>0.053116765769896004</v>
      </c>
      <c r="T173" s="128">
        <f t="shared" si="210"/>
        <v>0.8402401142220108</v>
      </c>
      <c r="U173" s="145">
        <f t="shared" si="211"/>
        <v>0</v>
      </c>
      <c r="V173" s="145">
        <f t="shared" si="212"/>
        <v>0</v>
      </c>
      <c r="W173" s="128">
        <f t="shared" si="184"/>
        <v>0</v>
      </c>
      <c r="X173" t="str">
        <f t="shared" si="167"/>
        <v>109,27</v>
      </c>
      <c r="Y173" s="151">
        <f t="shared" si="168"/>
        <v>0.053116765769896004</v>
      </c>
      <c r="Z173" s="151">
        <f t="shared" si="169"/>
        <v>0.8402401142220108</v>
      </c>
    </row>
    <row r="174" spans="1:26" ht="12.75">
      <c r="A174" s="141">
        <f>+'SMAW-SMAW'!A174</f>
        <v>157</v>
      </c>
      <c r="B174" s="142">
        <v>10</v>
      </c>
      <c r="C174" s="143">
        <v>273</v>
      </c>
      <c r="D174" s="143">
        <v>9.27</v>
      </c>
      <c r="E174" s="144" t="s">
        <v>87</v>
      </c>
      <c r="F174" s="145">
        <f t="shared" si="199"/>
        <v>2</v>
      </c>
      <c r="G174" s="145">
        <f t="shared" si="213"/>
        <v>2</v>
      </c>
      <c r="H174" s="145">
        <f t="shared" si="200"/>
        <v>2</v>
      </c>
      <c r="I174" s="146">
        <f t="shared" si="201"/>
        <v>5.578467202607041</v>
      </c>
      <c r="J174" s="147"/>
      <c r="K174" s="145">
        <f t="shared" si="202"/>
        <v>0</v>
      </c>
      <c r="L174" s="145">
        <f t="shared" si="203"/>
        <v>6</v>
      </c>
      <c r="M174" s="145">
        <f t="shared" si="204"/>
        <v>14.54</v>
      </c>
      <c r="N174" s="145">
        <f t="shared" si="205"/>
        <v>40.55545656295319</v>
      </c>
      <c r="O174" s="145">
        <f t="shared" si="206"/>
        <v>0</v>
      </c>
      <c r="P174" s="145">
        <f t="shared" si="207"/>
        <v>36.31386881042816</v>
      </c>
      <c r="Q174" s="147">
        <f t="shared" si="208"/>
        <v>91.40932537338135</v>
      </c>
      <c r="R174" s="147"/>
      <c r="S174" s="128">
        <f t="shared" si="209"/>
        <v>0.053116765769896004</v>
      </c>
      <c r="T174" s="128">
        <f t="shared" si="210"/>
        <v>0.8402401142220108</v>
      </c>
      <c r="U174" s="145">
        <f t="shared" si="211"/>
        <v>0</v>
      </c>
      <c r="V174" s="145">
        <f t="shared" si="212"/>
        <v>0</v>
      </c>
      <c r="W174" s="128">
        <f t="shared" si="184"/>
        <v>0</v>
      </c>
      <c r="X174" t="str">
        <f t="shared" si="167"/>
        <v>109,27</v>
      </c>
      <c r="Y174" s="151">
        <f t="shared" si="168"/>
        <v>0.053116765769896004</v>
      </c>
      <c r="Z174" s="151">
        <f t="shared" si="169"/>
        <v>0.8402401142220108</v>
      </c>
    </row>
    <row r="175" spans="1:26" ht="12.75">
      <c r="A175" s="141">
        <f>+'SMAW-SMAW'!A175</f>
        <v>158</v>
      </c>
      <c r="B175" s="142">
        <v>10</v>
      </c>
      <c r="C175" s="143">
        <v>273</v>
      </c>
      <c r="D175" s="143">
        <v>12.7</v>
      </c>
      <c r="E175" s="144" t="s">
        <v>94</v>
      </c>
      <c r="F175" s="145">
        <f t="shared" si="199"/>
        <v>2</v>
      </c>
      <c r="G175" s="145">
        <f t="shared" si="213"/>
        <v>2</v>
      </c>
      <c r="H175" s="145">
        <f t="shared" si="200"/>
        <v>2</v>
      </c>
      <c r="I175" s="146">
        <f t="shared" si="201"/>
        <v>8.210398771374875</v>
      </c>
      <c r="J175" s="147"/>
      <c r="K175" s="145">
        <f t="shared" si="202"/>
        <v>0</v>
      </c>
      <c r="L175" s="145">
        <f t="shared" si="203"/>
        <v>6</v>
      </c>
      <c r="M175" s="145">
        <f t="shared" si="204"/>
        <v>21.4</v>
      </c>
      <c r="N175" s="145">
        <f t="shared" si="205"/>
        <v>87.85126685371115</v>
      </c>
      <c r="O175" s="145">
        <f t="shared" si="206"/>
        <v>0</v>
      </c>
      <c r="P175" s="145">
        <f t="shared" si="207"/>
        <v>46.8415950854995</v>
      </c>
      <c r="Q175" s="147">
        <f t="shared" si="208"/>
        <v>156.09286193921065</v>
      </c>
      <c r="R175" s="147"/>
      <c r="S175" s="128">
        <f t="shared" si="209"/>
        <v>0.0517069498866588</v>
      </c>
      <c r="T175" s="128">
        <f t="shared" si="210"/>
        <v>1.4256458836060846</v>
      </c>
      <c r="U175" s="145">
        <f t="shared" si="211"/>
        <v>0</v>
      </c>
      <c r="V175" s="145">
        <f t="shared" si="212"/>
        <v>0</v>
      </c>
      <c r="W175" s="128">
        <f t="shared" si="184"/>
        <v>0</v>
      </c>
      <c r="X175" t="str">
        <f t="shared" si="167"/>
        <v>1012,7</v>
      </c>
      <c r="Y175" s="151">
        <f t="shared" si="168"/>
        <v>0.0517069498866588</v>
      </c>
      <c r="Z175" s="151">
        <f t="shared" si="169"/>
        <v>1.4256458836060846</v>
      </c>
    </row>
    <row r="176" spans="1:26" ht="12.75">
      <c r="A176" s="141">
        <f>+'SMAW-SMAW'!A176</f>
        <v>159</v>
      </c>
      <c r="B176" s="142">
        <v>10</v>
      </c>
      <c r="C176" s="143">
        <v>273</v>
      </c>
      <c r="D176" s="143">
        <v>12.7</v>
      </c>
      <c r="E176" s="144" t="s">
        <v>88</v>
      </c>
      <c r="F176" s="145">
        <f t="shared" si="199"/>
        <v>2</v>
      </c>
      <c r="G176" s="145">
        <f t="shared" si="213"/>
        <v>2</v>
      </c>
      <c r="H176" s="145">
        <f t="shared" si="200"/>
        <v>2</v>
      </c>
      <c r="I176" s="146">
        <f t="shared" si="201"/>
        <v>8.210398771374875</v>
      </c>
      <c r="J176" s="147"/>
      <c r="K176" s="145">
        <f t="shared" si="202"/>
        <v>0</v>
      </c>
      <c r="L176" s="145">
        <f t="shared" si="203"/>
        <v>6</v>
      </c>
      <c r="M176" s="145">
        <f t="shared" si="204"/>
        <v>21.4</v>
      </c>
      <c r="N176" s="145">
        <f t="shared" si="205"/>
        <v>87.85126685371115</v>
      </c>
      <c r="O176" s="145">
        <f t="shared" si="206"/>
        <v>0</v>
      </c>
      <c r="P176" s="145">
        <f t="shared" si="207"/>
        <v>46.8415950854995</v>
      </c>
      <c r="Q176" s="147">
        <f t="shared" si="208"/>
        <v>156.09286193921065</v>
      </c>
      <c r="R176" s="147"/>
      <c r="S176" s="128">
        <f t="shared" si="209"/>
        <v>0.0517069498866588</v>
      </c>
      <c r="T176" s="128">
        <f t="shared" si="210"/>
        <v>1.4256458836060846</v>
      </c>
      <c r="U176" s="145">
        <f t="shared" si="211"/>
        <v>0</v>
      </c>
      <c r="V176" s="145">
        <f t="shared" si="212"/>
        <v>0</v>
      </c>
      <c r="W176" s="128">
        <f t="shared" si="184"/>
        <v>0</v>
      </c>
      <c r="X176" t="str">
        <f t="shared" si="167"/>
        <v>1012,7</v>
      </c>
      <c r="Y176" s="151">
        <f t="shared" si="168"/>
        <v>0.0517069498866588</v>
      </c>
      <c r="Z176" s="151">
        <f t="shared" si="169"/>
        <v>1.4256458836060846</v>
      </c>
    </row>
    <row r="177" spans="1:26" ht="12.75">
      <c r="A177" s="141">
        <f>+'SMAW-SMAW'!A177</f>
        <v>160</v>
      </c>
      <c r="B177" s="142">
        <v>10</v>
      </c>
      <c r="C177" s="143">
        <v>273</v>
      </c>
      <c r="D177" s="143">
        <v>12.7</v>
      </c>
      <c r="E177" s="144" t="s">
        <v>82</v>
      </c>
      <c r="F177" s="145">
        <f t="shared" si="199"/>
        <v>2</v>
      </c>
      <c r="G177" s="145">
        <f t="shared" si="213"/>
        <v>2</v>
      </c>
      <c r="H177" s="145">
        <f t="shared" si="200"/>
        <v>2</v>
      </c>
      <c r="I177" s="146">
        <f t="shared" si="201"/>
        <v>8.210398771374875</v>
      </c>
      <c r="J177" s="147"/>
      <c r="K177" s="145">
        <f t="shared" si="202"/>
        <v>0</v>
      </c>
      <c r="L177" s="145">
        <f t="shared" si="203"/>
        <v>6</v>
      </c>
      <c r="M177" s="145">
        <f t="shared" si="204"/>
        <v>21.4</v>
      </c>
      <c r="N177" s="145">
        <f t="shared" si="205"/>
        <v>87.85126685371115</v>
      </c>
      <c r="O177" s="145">
        <f t="shared" si="206"/>
        <v>0</v>
      </c>
      <c r="P177" s="145">
        <f t="shared" si="207"/>
        <v>46.8415950854995</v>
      </c>
      <c r="Q177" s="147">
        <f t="shared" si="208"/>
        <v>156.09286193921065</v>
      </c>
      <c r="R177" s="147"/>
      <c r="S177" s="128">
        <f t="shared" si="209"/>
        <v>0.0517069498866588</v>
      </c>
      <c r="T177" s="128">
        <f t="shared" si="210"/>
        <v>1.4256458836060846</v>
      </c>
      <c r="U177" s="145">
        <f t="shared" si="211"/>
        <v>0</v>
      </c>
      <c r="V177" s="145">
        <f t="shared" si="212"/>
        <v>0</v>
      </c>
      <c r="W177" s="128">
        <f t="shared" si="184"/>
        <v>0</v>
      </c>
      <c r="X177" t="str">
        <f t="shared" si="167"/>
        <v>1012,7</v>
      </c>
      <c r="Y177" s="151">
        <f t="shared" si="168"/>
        <v>0.0517069498866588</v>
      </c>
      <c r="Z177" s="151">
        <f t="shared" si="169"/>
        <v>1.4256458836060846</v>
      </c>
    </row>
    <row r="178" spans="1:26" ht="12.75">
      <c r="A178" s="141">
        <f>+'SMAW-SMAW'!A178</f>
        <v>161</v>
      </c>
      <c r="B178" s="142">
        <v>10</v>
      </c>
      <c r="C178" s="143">
        <v>273</v>
      </c>
      <c r="D178" s="143">
        <v>15.09</v>
      </c>
      <c r="E178" s="144" t="s">
        <v>89</v>
      </c>
      <c r="F178" s="145">
        <f t="shared" si="199"/>
        <v>2</v>
      </c>
      <c r="G178" s="145">
        <f t="shared" si="213"/>
        <v>2</v>
      </c>
      <c r="H178" s="145">
        <f t="shared" si="200"/>
        <v>2</v>
      </c>
      <c r="I178" s="146">
        <f t="shared" si="201"/>
        <v>10.04431027264459</v>
      </c>
      <c r="J178" s="147"/>
      <c r="K178" s="145">
        <f t="shared" si="202"/>
        <v>0</v>
      </c>
      <c r="L178" s="145">
        <f t="shared" si="203"/>
        <v>6</v>
      </c>
      <c r="M178" s="145">
        <f t="shared" si="204"/>
        <v>26.18</v>
      </c>
      <c r="N178" s="145">
        <f t="shared" si="205"/>
        <v>131.4800214689177</v>
      </c>
      <c r="O178" s="145">
        <f t="shared" si="206"/>
        <v>0</v>
      </c>
      <c r="P178" s="145">
        <f t="shared" si="207"/>
        <v>54.17724109057836</v>
      </c>
      <c r="Q178" s="147">
        <f t="shared" si="208"/>
        <v>211.83726255949608</v>
      </c>
      <c r="R178" s="147"/>
      <c r="S178" s="128">
        <f t="shared" si="209"/>
        <v>0.05072460004382005</v>
      </c>
      <c r="T178" s="128">
        <f t="shared" si="210"/>
        <v>1.926106507902326</v>
      </c>
      <c r="U178" s="145">
        <f t="shared" si="211"/>
        <v>0</v>
      </c>
      <c r="V178" s="145">
        <f t="shared" si="212"/>
        <v>0</v>
      </c>
      <c r="W178" s="128">
        <f t="shared" si="184"/>
        <v>0</v>
      </c>
      <c r="X178" t="str">
        <f t="shared" si="167"/>
        <v>1015,09</v>
      </c>
      <c r="Y178" s="151">
        <f t="shared" si="168"/>
        <v>0.05072460004382005</v>
      </c>
      <c r="Z178" s="151">
        <f t="shared" si="169"/>
        <v>1.926106507902326</v>
      </c>
    </row>
    <row r="179" spans="1:26" ht="12.75">
      <c r="A179" s="141">
        <f>+'SMAW-SMAW'!A179</f>
        <v>162</v>
      </c>
      <c r="B179" s="142">
        <v>10</v>
      </c>
      <c r="C179" s="143">
        <v>273</v>
      </c>
      <c r="D179" s="143">
        <v>18.26</v>
      </c>
      <c r="E179" s="144" t="s">
        <v>95</v>
      </c>
      <c r="F179" s="145">
        <f t="shared" si="199"/>
        <v>2</v>
      </c>
      <c r="G179" s="145">
        <f t="shared" si="213"/>
        <v>2</v>
      </c>
      <c r="H179" s="145">
        <f t="shared" si="200"/>
        <v>2</v>
      </c>
      <c r="I179" s="146">
        <f t="shared" si="201"/>
        <v>12.476736824537896</v>
      </c>
      <c r="J179" s="147"/>
      <c r="K179" s="145">
        <f t="shared" si="202"/>
        <v>0</v>
      </c>
      <c r="L179" s="145">
        <f t="shared" si="203"/>
        <v>6</v>
      </c>
      <c r="M179" s="145">
        <f t="shared" si="204"/>
        <v>32.52</v>
      </c>
      <c r="N179" s="145">
        <f t="shared" si="205"/>
        <v>202.87174076698622</v>
      </c>
      <c r="O179" s="145">
        <f t="shared" si="206"/>
        <v>0</v>
      </c>
      <c r="P179" s="145">
        <f t="shared" si="207"/>
        <v>63.906947298151586</v>
      </c>
      <c r="Q179" s="147">
        <f t="shared" si="208"/>
        <v>299.2986880651378</v>
      </c>
      <c r="R179" s="147"/>
      <c r="S179" s="128">
        <f t="shared" si="209"/>
        <v>0.04942165067068247</v>
      </c>
      <c r="T179" s="128">
        <f t="shared" si="210"/>
        <v>2.7050908989442477</v>
      </c>
      <c r="U179" s="145">
        <f t="shared" si="211"/>
        <v>0</v>
      </c>
      <c r="V179" s="145">
        <f t="shared" si="212"/>
        <v>0</v>
      </c>
      <c r="W179" s="128">
        <f t="shared" si="184"/>
        <v>0</v>
      </c>
      <c r="X179" t="str">
        <f t="shared" si="167"/>
        <v>1018,26</v>
      </c>
      <c r="Y179" s="151">
        <f t="shared" si="168"/>
        <v>0.04942165067068247</v>
      </c>
      <c r="Z179" s="151">
        <f t="shared" si="169"/>
        <v>2.7050908989442477</v>
      </c>
    </row>
    <row r="180" spans="1:26" ht="12.75">
      <c r="A180" s="141">
        <f>+'SMAW-SMAW'!A180</f>
        <v>163</v>
      </c>
      <c r="B180" s="142">
        <v>10</v>
      </c>
      <c r="C180" s="143">
        <v>273</v>
      </c>
      <c r="D180" s="143">
        <v>21.44</v>
      </c>
      <c r="E180" s="144" t="s">
        <v>91</v>
      </c>
      <c r="F180" s="145">
        <f t="shared" si="199"/>
        <v>2</v>
      </c>
      <c r="G180" s="145">
        <f t="shared" si="213"/>
        <v>2</v>
      </c>
      <c r="H180" s="145">
        <f t="shared" si="200"/>
        <v>3</v>
      </c>
      <c r="I180" s="146">
        <f t="shared" si="201"/>
        <v>13.044558795642326</v>
      </c>
      <c r="J180" s="147"/>
      <c r="K180" s="145">
        <f t="shared" si="202"/>
        <v>0.43023783292865475</v>
      </c>
      <c r="L180" s="145">
        <f t="shared" si="203"/>
        <v>6</v>
      </c>
      <c r="M180" s="145">
        <f t="shared" si="204"/>
        <v>38.88</v>
      </c>
      <c r="N180" s="145">
        <f t="shared" si="205"/>
        <v>221.75749952591954</v>
      </c>
      <c r="O180" s="145">
        <f t="shared" si="206"/>
        <v>64.70722723508051</v>
      </c>
      <c r="P180" s="145">
        <f t="shared" si="207"/>
        <v>101.84877977142587</v>
      </c>
      <c r="Q180" s="147">
        <f t="shared" si="208"/>
        <v>427.19350653242594</v>
      </c>
      <c r="R180" s="147"/>
      <c r="S180" s="128">
        <f t="shared" si="209"/>
        <v>0.04811459104715642</v>
      </c>
      <c r="T180" s="128">
        <f t="shared" si="210"/>
        <v>3.8377515049418767</v>
      </c>
      <c r="U180" s="145">
        <f t="shared" si="211"/>
        <v>0</v>
      </c>
      <c r="V180" s="145">
        <f t="shared" si="212"/>
        <v>0</v>
      </c>
      <c r="W180" s="128">
        <f t="shared" si="184"/>
        <v>0</v>
      </c>
      <c r="X180" t="str">
        <f t="shared" si="167"/>
        <v>1021,44</v>
      </c>
      <c r="Y180" s="151">
        <f t="shared" si="168"/>
        <v>0.04811459104715642</v>
      </c>
      <c r="Z180" s="151">
        <f t="shared" si="169"/>
        <v>3.8377515049418767</v>
      </c>
    </row>
    <row r="181" spans="1:26" ht="12.75">
      <c r="A181" s="141">
        <f>+'SMAW-SMAW'!A181</f>
        <v>164</v>
      </c>
      <c r="B181" s="142">
        <v>10</v>
      </c>
      <c r="C181" s="143">
        <v>273</v>
      </c>
      <c r="D181" s="143">
        <v>25.4</v>
      </c>
      <c r="E181" s="144" t="s">
        <v>96</v>
      </c>
      <c r="F181" s="145">
        <f t="shared" si="199"/>
        <v>2</v>
      </c>
      <c r="G181" s="145">
        <f t="shared" si="213"/>
        <v>2</v>
      </c>
      <c r="H181" s="145">
        <f t="shared" si="200"/>
        <v>3</v>
      </c>
      <c r="I181" s="146">
        <f t="shared" si="201"/>
        <v>13.044558795642326</v>
      </c>
      <c r="J181" s="147"/>
      <c r="K181" s="145">
        <f t="shared" si="202"/>
        <v>1.1284926765341756</v>
      </c>
      <c r="L181" s="145">
        <f t="shared" si="203"/>
        <v>6</v>
      </c>
      <c r="M181" s="145">
        <f t="shared" si="204"/>
        <v>46.8</v>
      </c>
      <c r="N181" s="145">
        <f t="shared" si="205"/>
        <v>221.75749952591954</v>
      </c>
      <c r="O181" s="145">
        <f t="shared" si="206"/>
        <v>174.19270571404044</v>
      </c>
      <c r="P181" s="145">
        <f t="shared" si="207"/>
        <v>106.03830883305902</v>
      </c>
      <c r="Q181" s="147">
        <f t="shared" si="208"/>
        <v>548.788514073019</v>
      </c>
      <c r="R181" s="147"/>
      <c r="S181" s="128">
        <f t="shared" si="209"/>
        <v>0.04648693189333156</v>
      </c>
      <c r="T181" s="128">
        <f t="shared" si="210"/>
        <v>4.892898585652508</v>
      </c>
      <c r="U181" s="145">
        <f t="shared" si="211"/>
        <v>0</v>
      </c>
      <c r="V181" s="145">
        <f t="shared" si="212"/>
        <v>0</v>
      </c>
      <c r="W181" s="128">
        <f t="shared" si="184"/>
        <v>0</v>
      </c>
      <c r="X181" t="str">
        <f t="shared" si="167"/>
        <v>1025,4</v>
      </c>
      <c r="Y181" s="151">
        <f t="shared" si="168"/>
        <v>0.04648693189333156</v>
      </c>
      <c r="Z181" s="151">
        <f t="shared" si="169"/>
        <v>4.892898585652508</v>
      </c>
    </row>
    <row r="182" spans="1:26" ht="12.75">
      <c r="A182" s="141">
        <f>+'SMAW-SMAW'!A182</f>
        <v>165</v>
      </c>
      <c r="B182" s="142">
        <v>10</v>
      </c>
      <c r="C182" s="143">
        <v>273</v>
      </c>
      <c r="D182" s="143">
        <v>25.4</v>
      </c>
      <c r="E182" s="144" t="s">
        <v>83</v>
      </c>
      <c r="F182" s="145">
        <f t="shared" si="199"/>
        <v>2</v>
      </c>
      <c r="G182" s="145">
        <f t="shared" si="213"/>
        <v>2</v>
      </c>
      <c r="H182" s="145">
        <f t="shared" si="200"/>
        <v>3</v>
      </c>
      <c r="I182" s="146">
        <f t="shared" si="201"/>
        <v>13.044558795642326</v>
      </c>
      <c r="J182" s="147"/>
      <c r="K182" s="145">
        <f t="shared" si="202"/>
        <v>1.1284926765341756</v>
      </c>
      <c r="L182" s="145">
        <f t="shared" si="203"/>
        <v>6</v>
      </c>
      <c r="M182" s="145">
        <f t="shared" si="204"/>
        <v>46.8</v>
      </c>
      <c r="N182" s="145">
        <f t="shared" si="205"/>
        <v>221.75749952591954</v>
      </c>
      <c r="O182" s="145">
        <f t="shared" si="206"/>
        <v>174.19270571404044</v>
      </c>
      <c r="P182" s="145">
        <f t="shared" si="207"/>
        <v>106.03830883305902</v>
      </c>
      <c r="Q182" s="147">
        <f t="shared" si="208"/>
        <v>548.788514073019</v>
      </c>
      <c r="R182" s="147"/>
      <c r="S182" s="128">
        <f t="shared" si="209"/>
        <v>0.04648693189333156</v>
      </c>
      <c r="T182" s="128">
        <f t="shared" si="210"/>
        <v>4.892898585652508</v>
      </c>
      <c r="U182" s="145">
        <f t="shared" si="211"/>
        <v>0</v>
      </c>
      <c r="V182" s="145">
        <f t="shared" si="212"/>
        <v>0</v>
      </c>
      <c r="W182" s="128">
        <f t="shared" si="184"/>
        <v>0</v>
      </c>
      <c r="X182" t="str">
        <f t="shared" si="167"/>
        <v>1025,4</v>
      </c>
      <c r="Y182" s="151">
        <f t="shared" si="168"/>
        <v>0.04648693189333156</v>
      </c>
      <c r="Z182" s="151">
        <f t="shared" si="169"/>
        <v>4.892898585652508</v>
      </c>
    </row>
    <row r="183" spans="1:26" ht="12.75">
      <c r="A183" s="141">
        <f>+'SMAW-SMAW'!A183</f>
        <v>166</v>
      </c>
      <c r="B183" s="142">
        <v>10</v>
      </c>
      <c r="C183" s="143">
        <v>273</v>
      </c>
      <c r="D183" s="143">
        <v>28.58</v>
      </c>
      <c r="E183" s="144" t="s">
        <v>90</v>
      </c>
      <c r="F183" s="145">
        <f t="shared" si="199"/>
        <v>2</v>
      </c>
      <c r="G183" s="145">
        <f t="shared" si="213"/>
        <v>2</v>
      </c>
      <c r="H183" s="145">
        <f t="shared" si="200"/>
        <v>3</v>
      </c>
      <c r="I183" s="146">
        <f t="shared" si="201"/>
        <v>13.044558795642326</v>
      </c>
      <c r="J183" s="147"/>
      <c r="K183" s="145">
        <f t="shared" si="202"/>
        <v>1.689212475187094</v>
      </c>
      <c r="L183" s="145">
        <f t="shared" si="203"/>
        <v>6</v>
      </c>
      <c r="M183" s="145">
        <f t="shared" si="204"/>
        <v>53.16</v>
      </c>
      <c r="N183" s="145">
        <f t="shared" si="205"/>
        <v>221.75749952591954</v>
      </c>
      <c r="O183" s="145">
        <f t="shared" si="206"/>
        <v>266.1164020367993</v>
      </c>
      <c r="P183" s="145">
        <f t="shared" si="207"/>
        <v>109.40262762497653</v>
      </c>
      <c r="Q183" s="147">
        <f t="shared" si="208"/>
        <v>650.4365291876953</v>
      </c>
      <c r="R183" s="147"/>
      <c r="S183" s="128">
        <f t="shared" si="209"/>
        <v>0.04517987226980553</v>
      </c>
      <c r="T183" s="128">
        <f t="shared" si="210"/>
        <v>5.763750496917726</v>
      </c>
      <c r="U183" s="145">
        <f t="shared" si="211"/>
        <v>0</v>
      </c>
      <c r="V183" s="145">
        <f t="shared" si="212"/>
        <v>0</v>
      </c>
      <c r="W183" s="128">
        <f t="shared" si="184"/>
        <v>0</v>
      </c>
      <c r="X183" t="str">
        <f t="shared" si="167"/>
        <v>1028,58</v>
      </c>
      <c r="Y183" s="151">
        <f t="shared" si="168"/>
        <v>0.04517987226980553</v>
      </c>
      <c r="Z183" s="151">
        <f t="shared" si="169"/>
        <v>5.763750496917726</v>
      </c>
    </row>
    <row r="184" spans="1:26" ht="12.75">
      <c r="A184" s="141">
        <f>+'SMAW-SMAW'!A184</f>
        <v>167</v>
      </c>
      <c r="B184" s="142"/>
      <c r="C184" s="143"/>
      <c r="D184" s="143"/>
      <c r="E184" s="144"/>
      <c r="F184" s="145"/>
      <c r="G184" s="145">
        <f t="shared" si="213"/>
        <v>0</v>
      </c>
      <c r="H184" s="145"/>
      <c r="I184" s="146"/>
      <c r="J184" s="147"/>
      <c r="K184" s="145"/>
      <c r="L184" s="145"/>
      <c r="M184" s="145"/>
      <c r="N184" s="145"/>
      <c r="O184" s="145"/>
      <c r="P184" s="145"/>
      <c r="Q184" s="147"/>
      <c r="R184" s="147"/>
      <c r="S184" s="128"/>
      <c r="T184" s="128"/>
      <c r="U184" s="145"/>
      <c r="V184" s="145"/>
      <c r="W184" s="128">
        <f t="shared" si="184"/>
        <v>0</v>
      </c>
      <c r="X184">
        <f t="shared" si="167"/>
      </c>
      <c r="Y184" s="151">
        <f t="shared" si="168"/>
        <v>0</v>
      </c>
      <c r="Z184" s="151">
        <f t="shared" si="169"/>
        <v>0</v>
      </c>
    </row>
    <row r="185" spans="1:26" ht="12.75">
      <c r="A185" s="141">
        <f>+'SMAW-SMAW'!A185</f>
        <v>168</v>
      </c>
      <c r="B185" s="142">
        <v>12</v>
      </c>
      <c r="C185" s="143">
        <v>323.4</v>
      </c>
      <c r="D185" s="143">
        <v>3.96</v>
      </c>
      <c r="E185" s="144" t="s">
        <v>81</v>
      </c>
      <c r="F185" s="145">
        <f aca="true" t="shared" si="214" ref="F185:F200">IF($D$6=1,2,3)</f>
        <v>2</v>
      </c>
      <c r="G185" s="145">
        <f t="shared" si="213"/>
        <v>2</v>
      </c>
      <c r="H185" s="145">
        <f aca="true" t="shared" si="215" ref="H185:H200">IF(D185&lt;=19,2,3)</f>
        <v>2</v>
      </c>
      <c r="I185" s="146">
        <f aca="true" t="shared" si="216" ref="I185:I200">IF(D185&lt;=19,(D185-G185)*TAN($C$8*PI()/180),(19-G185)*TAN($C$8*PI()/180))</f>
        <v>1.5039608964387623</v>
      </c>
      <c r="J185" s="147"/>
      <c r="K185" s="145">
        <f aca="true" t="shared" si="217" ref="K185:K200">IF(D185&lt;=19,0,(D185-19)*TAN($C$10*PI()/180))</f>
        <v>0</v>
      </c>
      <c r="L185" s="145">
        <f aca="true" t="shared" si="218" ref="L185:L200">+F185*(G185*1.5)</f>
        <v>6</v>
      </c>
      <c r="M185" s="145">
        <f aca="true" t="shared" si="219" ref="M185:M200">+F185*(D185-G185)</f>
        <v>3.92</v>
      </c>
      <c r="N185" s="145">
        <f aca="true" t="shared" si="220" ref="N185:N200">IF(D185&lt;=19,(D185-G185)*I185,(19-G185)*I185)</f>
        <v>2.947763357019974</v>
      </c>
      <c r="O185" s="145">
        <f aca="true" t="shared" si="221" ref="O185:O200">IF(D185&lt;=19,0,(I185*(D185-19)*2)+((K185)*(D185-19)))</f>
        <v>0</v>
      </c>
      <c r="P185" s="145">
        <f aca="true" t="shared" si="222" ref="P185:P200">+(5+F185+(2*(I185+K185)))*H185</f>
        <v>20.01584358575505</v>
      </c>
      <c r="Q185" s="147">
        <f aca="true" t="shared" si="223" ref="Q185:Q200">SUM(M185:P185)</f>
        <v>26.883606942775025</v>
      </c>
      <c r="R185" s="147"/>
      <c r="S185" s="128">
        <f aca="true" t="shared" si="224" ref="S185:S200">IF(D$6=1,(PI()*(C185-(2*D185)+(2*G185))*L185*0.1*0.01*7.85*0.001/(S$16*S$17)),0)</f>
        <v>0.06565713970504672</v>
      </c>
      <c r="T185" s="128">
        <f aca="true" t="shared" si="225" ref="T185:T200">IF(D$6=1,(PI()*(C185-(0.5*D185))*(Q185)*0.1*0.01*7.85*0.001/(T$16*T$17)),0)</f>
        <v>0.29596984622294065</v>
      </c>
      <c r="U185" s="145">
        <f aca="true" t="shared" si="226" ref="U185:U200">IF(D$6=1,0,(PI()*(C185-(2*D185)+(2*G185))*L185*0.1*0.01*7.85*0.001/(U$16*U$17)))</f>
        <v>0</v>
      </c>
      <c r="V185" s="145">
        <f aca="true" t="shared" si="227" ref="V185:V200">IF(D$6=1,0,(PI()*(C185-(0.5*D185))*(Q185)*0.1*0.01*7.85*0.001/(V$16*V$17)))</f>
        <v>0</v>
      </c>
      <c r="W185" s="128">
        <f t="shared" si="184"/>
        <v>0</v>
      </c>
      <c r="X185" t="str">
        <f t="shared" si="167"/>
        <v>123,96</v>
      </c>
      <c r="Y185" s="151">
        <f t="shared" si="168"/>
        <v>0.06565713970504672</v>
      </c>
      <c r="Z185" s="151">
        <f t="shared" si="169"/>
        <v>0.29596984622294065</v>
      </c>
    </row>
    <row r="186" spans="1:26" ht="12.75">
      <c r="A186" s="141">
        <f>+'SMAW-SMAW'!A186</f>
        <v>169</v>
      </c>
      <c r="B186" s="142">
        <v>12</v>
      </c>
      <c r="C186" s="143">
        <v>323.4</v>
      </c>
      <c r="D186" s="143">
        <v>4.57</v>
      </c>
      <c r="E186" s="144" t="s">
        <v>84</v>
      </c>
      <c r="F186" s="145">
        <f t="shared" si="214"/>
        <v>2</v>
      </c>
      <c r="G186" s="145">
        <f t="shared" si="213"/>
        <v>2</v>
      </c>
      <c r="H186" s="145">
        <f t="shared" si="215"/>
        <v>2</v>
      </c>
      <c r="I186" s="146">
        <f t="shared" si="216"/>
        <v>1.9720303591059283</v>
      </c>
      <c r="J186" s="147"/>
      <c r="K186" s="145">
        <f t="shared" si="217"/>
        <v>0</v>
      </c>
      <c r="L186" s="145">
        <f t="shared" si="218"/>
        <v>6</v>
      </c>
      <c r="M186" s="145">
        <f t="shared" si="219"/>
        <v>5.140000000000001</v>
      </c>
      <c r="N186" s="145">
        <f t="shared" si="220"/>
        <v>5.068118022902237</v>
      </c>
      <c r="O186" s="145">
        <f t="shared" si="221"/>
        <v>0</v>
      </c>
      <c r="P186" s="145">
        <f t="shared" si="222"/>
        <v>21.888121436423713</v>
      </c>
      <c r="Q186" s="147">
        <f t="shared" si="223"/>
        <v>32.09623945932595</v>
      </c>
      <c r="R186" s="147"/>
      <c r="S186" s="128">
        <f t="shared" si="224"/>
        <v>0.06540641443135148</v>
      </c>
      <c r="T186" s="128">
        <f t="shared" si="225"/>
        <v>0.3530220051517101</v>
      </c>
      <c r="U186" s="145">
        <f t="shared" si="226"/>
        <v>0</v>
      </c>
      <c r="V186" s="145">
        <f t="shared" si="227"/>
        <v>0</v>
      </c>
      <c r="W186" s="128">
        <f t="shared" si="184"/>
        <v>0</v>
      </c>
      <c r="X186" t="str">
        <f t="shared" si="167"/>
        <v>124,57</v>
      </c>
      <c r="Y186" s="151">
        <f t="shared" si="168"/>
        <v>0.06540641443135148</v>
      </c>
      <c r="Z186" s="151">
        <f t="shared" si="169"/>
        <v>0.3530220051517101</v>
      </c>
    </row>
    <row r="187" spans="1:26" ht="12.75">
      <c r="A187" s="141">
        <f>+'SMAW-SMAW'!A187</f>
        <v>170</v>
      </c>
      <c r="B187" s="142">
        <v>12</v>
      </c>
      <c r="C187" s="143">
        <v>323.4</v>
      </c>
      <c r="D187" s="143">
        <v>6.35</v>
      </c>
      <c r="E187" s="144" t="s">
        <v>92</v>
      </c>
      <c r="F187" s="145">
        <f t="shared" si="214"/>
        <v>2</v>
      </c>
      <c r="G187" s="145">
        <f t="shared" si="213"/>
        <v>2</v>
      </c>
      <c r="H187" s="145">
        <f t="shared" si="215"/>
        <v>2</v>
      </c>
      <c r="I187" s="146">
        <f t="shared" si="216"/>
        <v>3.337872397708477</v>
      </c>
      <c r="J187" s="147"/>
      <c r="K187" s="145">
        <f t="shared" si="217"/>
        <v>0</v>
      </c>
      <c r="L187" s="145">
        <f t="shared" si="218"/>
        <v>6</v>
      </c>
      <c r="M187" s="145">
        <f t="shared" si="219"/>
        <v>8.7</v>
      </c>
      <c r="N187" s="145">
        <f t="shared" si="220"/>
        <v>14.519744930031875</v>
      </c>
      <c r="O187" s="145">
        <f t="shared" si="221"/>
        <v>0</v>
      </c>
      <c r="P187" s="145">
        <f t="shared" si="222"/>
        <v>27.351489590833907</v>
      </c>
      <c r="Q187" s="147">
        <f t="shared" si="223"/>
        <v>50.57123452086578</v>
      </c>
      <c r="R187" s="147"/>
      <c r="S187" s="128">
        <f t="shared" si="224"/>
        <v>0.06467478986220797</v>
      </c>
      <c r="T187" s="128">
        <f t="shared" si="225"/>
        <v>0.5546842352077656</v>
      </c>
      <c r="U187" s="145">
        <f t="shared" si="226"/>
        <v>0</v>
      </c>
      <c r="V187" s="145">
        <f t="shared" si="227"/>
        <v>0</v>
      </c>
      <c r="W187" s="128">
        <f t="shared" si="184"/>
        <v>0</v>
      </c>
      <c r="X187" t="str">
        <f t="shared" si="167"/>
        <v>126,35</v>
      </c>
      <c r="Y187" s="151">
        <f t="shared" si="168"/>
        <v>0.06467478986220797</v>
      </c>
      <c r="Z187" s="151">
        <f t="shared" si="169"/>
        <v>0.5546842352077656</v>
      </c>
    </row>
    <row r="188" spans="1:26" ht="12.75">
      <c r="A188" s="141">
        <f>+'SMAW-SMAW'!A188</f>
        <v>171</v>
      </c>
      <c r="B188" s="142">
        <v>12</v>
      </c>
      <c r="C188" s="143">
        <v>323.4</v>
      </c>
      <c r="D188" s="143">
        <v>8.38</v>
      </c>
      <c r="E188" s="144" t="s">
        <v>93</v>
      </c>
      <c r="F188" s="145">
        <f t="shared" si="214"/>
        <v>2</v>
      </c>
      <c r="G188" s="145">
        <f t="shared" si="213"/>
        <v>2</v>
      </c>
      <c r="H188" s="145">
        <f t="shared" si="215"/>
        <v>2</v>
      </c>
      <c r="I188" s="146">
        <f t="shared" si="216"/>
        <v>4.895546183305767</v>
      </c>
      <c r="J188" s="147"/>
      <c r="K188" s="145">
        <f t="shared" si="217"/>
        <v>0</v>
      </c>
      <c r="L188" s="145">
        <f t="shared" si="218"/>
        <v>6</v>
      </c>
      <c r="M188" s="145">
        <f t="shared" si="219"/>
        <v>12.760000000000002</v>
      </c>
      <c r="N188" s="145">
        <f t="shared" si="220"/>
        <v>31.2335846494908</v>
      </c>
      <c r="O188" s="145">
        <f t="shared" si="221"/>
        <v>0</v>
      </c>
      <c r="P188" s="145">
        <f t="shared" si="222"/>
        <v>33.58218473322307</v>
      </c>
      <c r="Q188" s="147">
        <f t="shared" si="223"/>
        <v>77.57576938271387</v>
      </c>
      <c r="R188" s="147"/>
      <c r="S188" s="128">
        <f t="shared" si="224"/>
        <v>0.06384040903335331</v>
      </c>
      <c r="T188" s="128">
        <f t="shared" si="225"/>
        <v>0.8481830957163498</v>
      </c>
      <c r="U188" s="145">
        <f t="shared" si="226"/>
        <v>0</v>
      </c>
      <c r="V188" s="145">
        <f t="shared" si="227"/>
        <v>0</v>
      </c>
      <c r="W188" s="128">
        <f t="shared" si="184"/>
        <v>0</v>
      </c>
      <c r="X188" t="str">
        <f t="shared" si="167"/>
        <v>128,38</v>
      </c>
      <c r="Y188" s="151">
        <f t="shared" si="168"/>
        <v>0.06384040903335331</v>
      </c>
      <c r="Z188" s="151">
        <f t="shared" si="169"/>
        <v>0.8481830957163498</v>
      </c>
    </row>
    <row r="189" spans="1:26" ht="12.75">
      <c r="A189" s="141">
        <f>+'SMAW-SMAW'!A189</f>
        <v>172</v>
      </c>
      <c r="B189" s="142">
        <v>12</v>
      </c>
      <c r="C189" s="143">
        <v>323.4</v>
      </c>
      <c r="D189" s="143">
        <v>9.52</v>
      </c>
      <c r="E189" s="144" t="s">
        <v>85</v>
      </c>
      <c r="F189" s="145">
        <f t="shared" si="214"/>
        <v>2</v>
      </c>
      <c r="G189" s="145">
        <f t="shared" si="213"/>
        <v>2</v>
      </c>
      <c r="H189" s="145">
        <f t="shared" si="215"/>
        <v>2</v>
      </c>
      <c r="I189" s="146">
        <f t="shared" si="216"/>
        <v>5.770298949601782</v>
      </c>
      <c r="J189" s="147"/>
      <c r="K189" s="145">
        <f t="shared" si="217"/>
        <v>0</v>
      </c>
      <c r="L189" s="145">
        <f t="shared" si="218"/>
        <v>6</v>
      </c>
      <c r="M189" s="145">
        <f t="shared" si="219"/>
        <v>15.04</v>
      </c>
      <c r="N189" s="145">
        <f t="shared" si="220"/>
        <v>43.39264810100539</v>
      </c>
      <c r="O189" s="145">
        <f t="shared" si="221"/>
        <v>0</v>
      </c>
      <c r="P189" s="145">
        <f t="shared" si="222"/>
        <v>37.08119579840712</v>
      </c>
      <c r="Q189" s="147">
        <f t="shared" si="223"/>
        <v>95.5138438994125</v>
      </c>
      <c r="R189" s="147"/>
      <c r="S189" s="128">
        <f t="shared" si="224"/>
        <v>0.06337184048907035</v>
      </c>
      <c r="T189" s="128">
        <f t="shared" si="225"/>
        <v>1.0424461980803645</v>
      </c>
      <c r="U189" s="145">
        <f t="shared" si="226"/>
        <v>0</v>
      </c>
      <c r="V189" s="145">
        <f t="shared" si="227"/>
        <v>0</v>
      </c>
      <c r="W189" s="128">
        <f t="shared" si="184"/>
        <v>0</v>
      </c>
      <c r="X189" t="str">
        <f t="shared" si="167"/>
        <v>129,52</v>
      </c>
      <c r="Y189" s="151">
        <f t="shared" si="168"/>
        <v>0.06337184048907035</v>
      </c>
      <c r="Z189" s="151">
        <f t="shared" si="169"/>
        <v>1.0424461980803645</v>
      </c>
    </row>
    <row r="190" spans="1:26" ht="12.75">
      <c r="A190" s="141">
        <f>+'SMAW-SMAW'!A190</f>
        <v>173</v>
      </c>
      <c r="B190" s="142">
        <v>12</v>
      </c>
      <c r="C190" s="143">
        <v>323.4</v>
      </c>
      <c r="D190" s="143">
        <v>9.52</v>
      </c>
      <c r="E190" s="144" t="s">
        <v>86</v>
      </c>
      <c r="F190" s="145">
        <f t="shared" si="214"/>
        <v>2</v>
      </c>
      <c r="G190" s="145">
        <f t="shared" si="213"/>
        <v>2</v>
      </c>
      <c r="H190" s="145">
        <f t="shared" si="215"/>
        <v>2</v>
      </c>
      <c r="I190" s="146">
        <f t="shared" si="216"/>
        <v>5.770298949601782</v>
      </c>
      <c r="J190" s="147"/>
      <c r="K190" s="145">
        <f t="shared" si="217"/>
        <v>0</v>
      </c>
      <c r="L190" s="145">
        <f t="shared" si="218"/>
        <v>6</v>
      </c>
      <c r="M190" s="145">
        <f t="shared" si="219"/>
        <v>15.04</v>
      </c>
      <c r="N190" s="145">
        <f t="shared" si="220"/>
        <v>43.39264810100539</v>
      </c>
      <c r="O190" s="145">
        <f t="shared" si="221"/>
        <v>0</v>
      </c>
      <c r="P190" s="145">
        <f t="shared" si="222"/>
        <v>37.08119579840712</v>
      </c>
      <c r="Q190" s="147">
        <f t="shared" si="223"/>
        <v>95.5138438994125</v>
      </c>
      <c r="R190" s="147"/>
      <c r="S190" s="128">
        <f t="shared" si="224"/>
        <v>0.06337184048907035</v>
      </c>
      <c r="T190" s="128">
        <f t="shared" si="225"/>
        <v>1.0424461980803645</v>
      </c>
      <c r="U190" s="145">
        <f t="shared" si="226"/>
        <v>0</v>
      </c>
      <c r="V190" s="145">
        <f t="shared" si="227"/>
        <v>0</v>
      </c>
      <c r="W190" s="128">
        <f t="shared" si="184"/>
        <v>0</v>
      </c>
      <c r="X190" t="str">
        <f t="shared" si="167"/>
        <v>129,52</v>
      </c>
      <c r="Y190" s="151">
        <f t="shared" si="168"/>
        <v>0.06337184048907035</v>
      </c>
      <c r="Z190" s="151">
        <f t="shared" si="169"/>
        <v>1.0424461980803645</v>
      </c>
    </row>
    <row r="191" spans="1:26" ht="12.75">
      <c r="A191" s="141">
        <f>+'SMAW-SMAW'!A191</f>
        <v>174</v>
      </c>
      <c r="B191" s="142">
        <v>12</v>
      </c>
      <c r="C191" s="143">
        <v>323.4</v>
      </c>
      <c r="D191" s="143">
        <v>10.31</v>
      </c>
      <c r="E191" s="144" t="s">
        <v>87</v>
      </c>
      <c r="F191" s="145">
        <f t="shared" si="214"/>
        <v>2</v>
      </c>
      <c r="G191" s="145">
        <f t="shared" si="213"/>
        <v>2</v>
      </c>
      <c r="H191" s="145">
        <f t="shared" si="215"/>
        <v>2</v>
      </c>
      <c r="I191" s="146">
        <f t="shared" si="216"/>
        <v>6.376487270105161</v>
      </c>
      <c r="J191" s="147"/>
      <c r="K191" s="145">
        <f t="shared" si="217"/>
        <v>0</v>
      </c>
      <c r="L191" s="145">
        <f t="shared" si="218"/>
        <v>6</v>
      </c>
      <c r="M191" s="145">
        <f t="shared" si="219"/>
        <v>16.62</v>
      </c>
      <c r="N191" s="145">
        <f t="shared" si="220"/>
        <v>52.98860921457389</v>
      </c>
      <c r="O191" s="145">
        <f t="shared" si="221"/>
        <v>0</v>
      </c>
      <c r="P191" s="145">
        <f t="shared" si="222"/>
        <v>39.50594908042065</v>
      </c>
      <c r="Q191" s="147">
        <f t="shared" si="223"/>
        <v>109.11455829499454</v>
      </c>
      <c r="R191" s="147"/>
      <c r="S191" s="128">
        <f t="shared" si="224"/>
        <v>0.0630471307083831</v>
      </c>
      <c r="T191" s="128">
        <f t="shared" si="225"/>
        <v>1.18940927570326</v>
      </c>
      <c r="U191" s="145">
        <f t="shared" si="226"/>
        <v>0</v>
      </c>
      <c r="V191" s="145">
        <f t="shared" si="227"/>
        <v>0</v>
      </c>
      <c r="W191" s="128">
        <f t="shared" si="184"/>
        <v>0</v>
      </c>
      <c r="X191" t="str">
        <f t="shared" si="167"/>
        <v>1210,31</v>
      </c>
      <c r="Y191" s="151">
        <f t="shared" si="168"/>
        <v>0.0630471307083831</v>
      </c>
      <c r="Z191" s="151">
        <f t="shared" si="169"/>
        <v>1.18940927570326</v>
      </c>
    </row>
    <row r="192" spans="1:26" ht="12.75">
      <c r="A192" s="141">
        <f>+'SMAW-SMAW'!A192</f>
        <v>175</v>
      </c>
      <c r="B192" s="142">
        <v>12</v>
      </c>
      <c r="C192" s="143">
        <v>323.4</v>
      </c>
      <c r="D192" s="143">
        <v>12.7</v>
      </c>
      <c r="E192" s="144" t="s">
        <v>88</v>
      </c>
      <c r="F192" s="145">
        <f t="shared" si="214"/>
        <v>2</v>
      </c>
      <c r="G192" s="145">
        <f t="shared" si="213"/>
        <v>2</v>
      </c>
      <c r="H192" s="145">
        <f t="shared" si="215"/>
        <v>2</v>
      </c>
      <c r="I192" s="146">
        <f t="shared" si="216"/>
        <v>8.210398771374875</v>
      </c>
      <c r="J192" s="147"/>
      <c r="K192" s="145">
        <f t="shared" si="217"/>
        <v>0</v>
      </c>
      <c r="L192" s="145">
        <f t="shared" si="218"/>
        <v>6</v>
      </c>
      <c r="M192" s="145">
        <f t="shared" si="219"/>
        <v>21.4</v>
      </c>
      <c r="N192" s="145">
        <f t="shared" si="220"/>
        <v>87.85126685371115</v>
      </c>
      <c r="O192" s="145">
        <f t="shared" si="221"/>
        <v>0</v>
      </c>
      <c r="P192" s="145">
        <f t="shared" si="222"/>
        <v>46.8415950854995</v>
      </c>
      <c r="Q192" s="147">
        <f t="shared" si="223"/>
        <v>156.09286193921065</v>
      </c>
      <c r="R192" s="147"/>
      <c r="S192" s="128">
        <f t="shared" si="224"/>
        <v>0.062064780865544365</v>
      </c>
      <c r="T192" s="128">
        <f t="shared" si="225"/>
        <v>1.6951097971022278</v>
      </c>
      <c r="U192" s="145">
        <f t="shared" si="226"/>
        <v>0</v>
      </c>
      <c r="V192" s="145">
        <f t="shared" si="227"/>
        <v>0</v>
      </c>
      <c r="W192" s="128">
        <f t="shared" si="184"/>
        <v>0</v>
      </c>
      <c r="X192" t="str">
        <f t="shared" si="167"/>
        <v>1212,7</v>
      </c>
      <c r="Y192" s="151">
        <f t="shared" si="168"/>
        <v>0.062064780865544365</v>
      </c>
      <c r="Z192" s="151">
        <f t="shared" si="169"/>
        <v>1.6951097971022278</v>
      </c>
    </row>
    <row r="193" spans="1:26" ht="12.75">
      <c r="A193" s="141">
        <f>+'SMAW-SMAW'!A193</f>
        <v>176</v>
      </c>
      <c r="B193" s="142">
        <v>12</v>
      </c>
      <c r="C193" s="143">
        <v>323.4</v>
      </c>
      <c r="D193" s="143">
        <v>12.701</v>
      </c>
      <c r="E193" s="144" t="s">
        <v>82</v>
      </c>
      <c r="F193" s="145">
        <f t="shared" si="214"/>
        <v>2</v>
      </c>
      <c r="G193" s="145">
        <f t="shared" si="213"/>
        <v>2</v>
      </c>
      <c r="H193" s="145">
        <f t="shared" si="215"/>
        <v>2</v>
      </c>
      <c r="I193" s="146">
        <f t="shared" si="216"/>
        <v>8.211166098362856</v>
      </c>
      <c r="J193" s="147"/>
      <c r="K193" s="145">
        <f t="shared" si="217"/>
        <v>0</v>
      </c>
      <c r="L193" s="145">
        <f t="shared" si="218"/>
        <v>6</v>
      </c>
      <c r="M193" s="145">
        <f t="shared" si="219"/>
        <v>21.402</v>
      </c>
      <c r="N193" s="145">
        <f t="shared" si="220"/>
        <v>87.86768841858093</v>
      </c>
      <c r="O193" s="145">
        <f t="shared" si="221"/>
        <v>0</v>
      </c>
      <c r="P193" s="145">
        <f t="shared" si="222"/>
        <v>46.844664393451424</v>
      </c>
      <c r="Q193" s="147">
        <f t="shared" si="223"/>
        <v>156.11435281203234</v>
      </c>
      <c r="R193" s="147"/>
      <c r="S193" s="128">
        <f t="shared" si="224"/>
        <v>0.0620643698405055</v>
      </c>
      <c r="T193" s="128">
        <f t="shared" si="225"/>
        <v>1.6953405062803528</v>
      </c>
      <c r="U193" s="145">
        <f t="shared" si="226"/>
        <v>0</v>
      </c>
      <c r="V193" s="145">
        <f t="shared" si="227"/>
        <v>0</v>
      </c>
      <c r="W193" s="128">
        <f t="shared" si="184"/>
        <v>0</v>
      </c>
      <c r="X193" t="str">
        <f t="shared" si="167"/>
        <v>1212,701</v>
      </c>
      <c r="Y193" s="151">
        <f t="shared" si="168"/>
        <v>0.0620643698405055</v>
      </c>
      <c r="Z193" s="151">
        <f t="shared" si="169"/>
        <v>1.6953405062803528</v>
      </c>
    </row>
    <row r="194" spans="1:26" ht="12.75">
      <c r="A194" s="141">
        <f>+'SMAW-SMAW'!A194</f>
        <v>177</v>
      </c>
      <c r="B194" s="142">
        <v>12</v>
      </c>
      <c r="C194" s="143">
        <v>323.4</v>
      </c>
      <c r="D194" s="143">
        <v>14.27</v>
      </c>
      <c r="E194" s="144" t="s">
        <v>94</v>
      </c>
      <c r="F194" s="145">
        <f t="shared" si="214"/>
        <v>2</v>
      </c>
      <c r="G194" s="145">
        <f t="shared" si="213"/>
        <v>2</v>
      </c>
      <c r="H194" s="145">
        <f t="shared" si="215"/>
        <v>2</v>
      </c>
      <c r="I194" s="146">
        <f t="shared" si="216"/>
        <v>9.415102142501844</v>
      </c>
      <c r="J194" s="147"/>
      <c r="K194" s="145">
        <f t="shared" si="217"/>
        <v>0</v>
      </c>
      <c r="L194" s="145">
        <f t="shared" si="218"/>
        <v>6</v>
      </c>
      <c r="M194" s="145">
        <f t="shared" si="219"/>
        <v>24.54</v>
      </c>
      <c r="N194" s="145">
        <f t="shared" si="220"/>
        <v>115.52330328849763</v>
      </c>
      <c r="O194" s="145">
        <f t="shared" si="221"/>
        <v>0</v>
      </c>
      <c r="P194" s="145">
        <f t="shared" si="222"/>
        <v>51.66040857000738</v>
      </c>
      <c r="Q194" s="147">
        <f t="shared" si="223"/>
        <v>191.723711858505</v>
      </c>
      <c r="R194" s="147"/>
      <c r="S194" s="128">
        <f t="shared" si="224"/>
        <v>0.06141947155455822</v>
      </c>
      <c r="T194" s="128">
        <f t="shared" si="225"/>
        <v>2.0768923860225983</v>
      </c>
      <c r="U194" s="145">
        <f t="shared" si="226"/>
        <v>0</v>
      </c>
      <c r="V194" s="145">
        <f t="shared" si="227"/>
        <v>0</v>
      </c>
      <c r="W194" s="128">
        <f t="shared" si="184"/>
        <v>0</v>
      </c>
      <c r="X194" t="str">
        <f t="shared" si="167"/>
        <v>1214,27</v>
      </c>
      <c r="Y194" s="151">
        <f t="shared" si="168"/>
        <v>0.06141947155455822</v>
      </c>
      <c r="Z194" s="151">
        <f t="shared" si="169"/>
        <v>2.0768923860225983</v>
      </c>
    </row>
    <row r="195" spans="1:26" ht="12.75">
      <c r="A195" s="141">
        <f>+'SMAW-SMAW'!A195</f>
        <v>178</v>
      </c>
      <c r="B195" s="142">
        <v>12</v>
      </c>
      <c r="C195" s="143">
        <v>323.4</v>
      </c>
      <c r="D195" s="143">
        <v>17.47</v>
      </c>
      <c r="E195" s="144" t="s">
        <v>89</v>
      </c>
      <c r="F195" s="145">
        <f t="shared" si="214"/>
        <v>2</v>
      </c>
      <c r="G195" s="145">
        <f t="shared" si="213"/>
        <v>2</v>
      </c>
      <c r="H195" s="145">
        <f t="shared" si="215"/>
        <v>2</v>
      </c>
      <c r="I195" s="146">
        <f t="shared" si="216"/>
        <v>11.870548504034517</v>
      </c>
      <c r="J195" s="147"/>
      <c r="K195" s="145">
        <f t="shared" si="217"/>
        <v>0</v>
      </c>
      <c r="L195" s="145">
        <f t="shared" si="218"/>
        <v>6</v>
      </c>
      <c r="M195" s="145">
        <f t="shared" si="219"/>
        <v>30.939999999999998</v>
      </c>
      <c r="N195" s="145">
        <f t="shared" si="220"/>
        <v>183.63738535741396</v>
      </c>
      <c r="O195" s="145">
        <f t="shared" si="221"/>
        <v>0</v>
      </c>
      <c r="P195" s="145">
        <f t="shared" si="222"/>
        <v>61.48219401613807</v>
      </c>
      <c r="Q195" s="147">
        <f t="shared" si="223"/>
        <v>276.059579373552</v>
      </c>
      <c r="R195" s="147"/>
      <c r="S195" s="128">
        <f t="shared" si="224"/>
        <v>0.06010419143025529</v>
      </c>
      <c r="T195" s="128">
        <f t="shared" si="225"/>
        <v>2.975351600990938</v>
      </c>
      <c r="U195" s="145">
        <f t="shared" si="226"/>
        <v>0</v>
      </c>
      <c r="V195" s="145">
        <f t="shared" si="227"/>
        <v>0</v>
      </c>
      <c r="W195" s="128">
        <f t="shared" si="184"/>
        <v>0</v>
      </c>
      <c r="X195" t="str">
        <f t="shared" si="167"/>
        <v>1217,47</v>
      </c>
      <c r="Y195" s="151">
        <f t="shared" si="168"/>
        <v>0.06010419143025529</v>
      </c>
      <c r="Z195" s="151">
        <f t="shared" si="169"/>
        <v>2.975351600990938</v>
      </c>
    </row>
    <row r="196" spans="1:26" ht="12.75">
      <c r="A196" s="141">
        <f>+'SMAW-SMAW'!A196</f>
        <v>179</v>
      </c>
      <c r="B196" s="142">
        <v>12</v>
      </c>
      <c r="C196" s="143">
        <v>323.4</v>
      </c>
      <c r="D196" s="143">
        <v>21.44</v>
      </c>
      <c r="E196" s="144" t="s">
        <v>95</v>
      </c>
      <c r="F196" s="145">
        <f t="shared" si="214"/>
        <v>2</v>
      </c>
      <c r="G196" s="145">
        <f t="shared" si="213"/>
        <v>2</v>
      </c>
      <c r="H196" s="145">
        <f t="shared" si="215"/>
        <v>3</v>
      </c>
      <c r="I196" s="146">
        <f t="shared" si="216"/>
        <v>13.044558795642326</v>
      </c>
      <c r="J196" s="147"/>
      <c r="K196" s="145">
        <f t="shared" si="217"/>
        <v>0.43023783292865475</v>
      </c>
      <c r="L196" s="145">
        <f t="shared" si="218"/>
        <v>6</v>
      </c>
      <c r="M196" s="145">
        <f t="shared" si="219"/>
        <v>38.88</v>
      </c>
      <c r="N196" s="145">
        <f t="shared" si="220"/>
        <v>221.75749952591954</v>
      </c>
      <c r="O196" s="145">
        <f t="shared" si="221"/>
        <v>64.70722723508051</v>
      </c>
      <c r="P196" s="145">
        <f t="shared" si="222"/>
        <v>101.84877977142587</v>
      </c>
      <c r="Q196" s="147">
        <f t="shared" si="223"/>
        <v>427.19350653242594</v>
      </c>
      <c r="R196" s="147"/>
      <c r="S196" s="128">
        <f t="shared" si="224"/>
        <v>0.05847242202604198</v>
      </c>
      <c r="T196" s="128">
        <f t="shared" si="225"/>
        <v>4.575217860931928</v>
      </c>
      <c r="U196" s="145">
        <f t="shared" si="226"/>
        <v>0</v>
      </c>
      <c r="V196" s="145">
        <f t="shared" si="227"/>
        <v>0</v>
      </c>
      <c r="W196" s="128">
        <f t="shared" si="184"/>
        <v>0</v>
      </c>
      <c r="X196" t="str">
        <f t="shared" si="167"/>
        <v>1221,44</v>
      </c>
      <c r="Y196" s="151">
        <f t="shared" si="168"/>
        <v>0.05847242202604198</v>
      </c>
      <c r="Z196" s="151">
        <f t="shared" si="169"/>
        <v>4.575217860931928</v>
      </c>
    </row>
    <row r="197" spans="1:26" ht="12.75">
      <c r="A197" s="141">
        <f>+'SMAW-SMAW'!A197</f>
        <v>180</v>
      </c>
      <c r="B197" s="142">
        <v>12</v>
      </c>
      <c r="C197" s="143">
        <v>323.4</v>
      </c>
      <c r="D197" s="143">
        <v>25.4</v>
      </c>
      <c r="E197" s="144" t="s">
        <v>91</v>
      </c>
      <c r="F197" s="145">
        <f t="shared" si="214"/>
        <v>2</v>
      </c>
      <c r="G197" s="145">
        <f t="shared" si="213"/>
        <v>2</v>
      </c>
      <c r="H197" s="145">
        <f t="shared" si="215"/>
        <v>3</v>
      </c>
      <c r="I197" s="146">
        <f t="shared" si="216"/>
        <v>13.044558795642326</v>
      </c>
      <c r="J197" s="147"/>
      <c r="K197" s="145">
        <f t="shared" si="217"/>
        <v>1.1284926765341756</v>
      </c>
      <c r="L197" s="145">
        <f t="shared" si="218"/>
        <v>6</v>
      </c>
      <c r="M197" s="145">
        <f t="shared" si="219"/>
        <v>46.8</v>
      </c>
      <c r="N197" s="145">
        <f t="shared" si="220"/>
        <v>221.75749952591954</v>
      </c>
      <c r="O197" s="145">
        <f t="shared" si="221"/>
        <v>174.19270571404044</v>
      </c>
      <c r="P197" s="145">
        <f t="shared" si="222"/>
        <v>106.03830883305902</v>
      </c>
      <c r="Q197" s="147">
        <f t="shared" si="223"/>
        <v>548.788514073019</v>
      </c>
      <c r="R197" s="147"/>
      <c r="S197" s="128">
        <f t="shared" si="224"/>
        <v>0.0568447628722171</v>
      </c>
      <c r="T197" s="128">
        <f t="shared" si="225"/>
        <v>5.840275030972855</v>
      </c>
      <c r="U197" s="145">
        <f t="shared" si="226"/>
        <v>0</v>
      </c>
      <c r="V197" s="145">
        <f t="shared" si="227"/>
        <v>0</v>
      </c>
      <c r="W197" s="128">
        <f t="shared" si="184"/>
        <v>0</v>
      </c>
      <c r="X197" t="str">
        <f t="shared" si="167"/>
        <v>1225,4</v>
      </c>
      <c r="Y197" s="151">
        <f t="shared" si="168"/>
        <v>0.0568447628722171</v>
      </c>
      <c r="Z197" s="151">
        <f t="shared" si="169"/>
        <v>5.840275030972855</v>
      </c>
    </row>
    <row r="198" spans="1:26" ht="12.75">
      <c r="A198" s="141">
        <f>+'SMAW-SMAW'!A198</f>
        <v>181</v>
      </c>
      <c r="B198" s="142">
        <v>12</v>
      </c>
      <c r="C198" s="143">
        <v>323.4</v>
      </c>
      <c r="D198" s="143">
        <v>25.4</v>
      </c>
      <c r="E198" s="144" t="s">
        <v>83</v>
      </c>
      <c r="F198" s="145">
        <f t="shared" si="214"/>
        <v>2</v>
      </c>
      <c r="G198" s="145">
        <f t="shared" si="213"/>
        <v>2</v>
      </c>
      <c r="H198" s="145">
        <f t="shared" si="215"/>
        <v>3</v>
      </c>
      <c r="I198" s="146">
        <f t="shared" si="216"/>
        <v>13.044558795642326</v>
      </c>
      <c r="J198" s="147"/>
      <c r="K198" s="145">
        <f t="shared" si="217"/>
        <v>1.1284926765341756</v>
      </c>
      <c r="L198" s="145">
        <f t="shared" si="218"/>
        <v>6</v>
      </c>
      <c r="M198" s="145">
        <f t="shared" si="219"/>
        <v>46.8</v>
      </c>
      <c r="N198" s="145">
        <f t="shared" si="220"/>
        <v>221.75749952591954</v>
      </c>
      <c r="O198" s="145">
        <f t="shared" si="221"/>
        <v>174.19270571404044</v>
      </c>
      <c r="P198" s="145">
        <f t="shared" si="222"/>
        <v>106.03830883305902</v>
      </c>
      <c r="Q198" s="147">
        <f t="shared" si="223"/>
        <v>548.788514073019</v>
      </c>
      <c r="R198" s="147"/>
      <c r="S198" s="128">
        <f t="shared" si="224"/>
        <v>0.0568447628722171</v>
      </c>
      <c r="T198" s="128">
        <f t="shared" si="225"/>
        <v>5.840275030972855</v>
      </c>
      <c r="U198" s="145">
        <f t="shared" si="226"/>
        <v>0</v>
      </c>
      <c r="V198" s="145">
        <f t="shared" si="227"/>
        <v>0</v>
      </c>
      <c r="W198" s="128">
        <f t="shared" si="184"/>
        <v>0</v>
      </c>
      <c r="X198" t="str">
        <f t="shared" si="167"/>
        <v>1225,4</v>
      </c>
      <c r="Y198" s="151">
        <f t="shared" si="168"/>
        <v>0.0568447628722171</v>
      </c>
      <c r="Z198" s="151">
        <f t="shared" si="169"/>
        <v>5.840275030972855</v>
      </c>
    </row>
    <row r="199" spans="1:26" ht="12.75">
      <c r="A199" s="141">
        <f>+'SMAW-SMAW'!A199</f>
        <v>182</v>
      </c>
      <c r="B199" s="142">
        <v>12</v>
      </c>
      <c r="C199" s="143">
        <v>323.4</v>
      </c>
      <c r="D199" s="143">
        <v>28.58</v>
      </c>
      <c r="E199" s="144" t="s">
        <v>96</v>
      </c>
      <c r="F199" s="145">
        <f t="shared" si="214"/>
        <v>2</v>
      </c>
      <c r="G199" s="145">
        <f t="shared" si="213"/>
        <v>2</v>
      </c>
      <c r="H199" s="145">
        <f t="shared" si="215"/>
        <v>3</v>
      </c>
      <c r="I199" s="146">
        <f t="shared" si="216"/>
        <v>13.044558795642326</v>
      </c>
      <c r="J199" s="147"/>
      <c r="K199" s="145">
        <f t="shared" si="217"/>
        <v>1.689212475187094</v>
      </c>
      <c r="L199" s="145">
        <f t="shared" si="218"/>
        <v>6</v>
      </c>
      <c r="M199" s="145">
        <f t="shared" si="219"/>
        <v>53.16</v>
      </c>
      <c r="N199" s="145">
        <f t="shared" si="220"/>
        <v>221.75749952591954</v>
      </c>
      <c r="O199" s="145">
        <f t="shared" si="221"/>
        <v>266.1164020367993</v>
      </c>
      <c r="P199" s="145">
        <f t="shared" si="222"/>
        <v>109.40262762497653</v>
      </c>
      <c r="Q199" s="147">
        <f t="shared" si="223"/>
        <v>650.4365291876953</v>
      </c>
      <c r="R199" s="147"/>
      <c r="S199" s="128">
        <f t="shared" si="224"/>
        <v>0.05553770324869107</v>
      </c>
      <c r="T199" s="128">
        <f t="shared" si="225"/>
        <v>6.886602435554243</v>
      </c>
      <c r="U199" s="145">
        <f t="shared" si="226"/>
        <v>0</v>
      </c>
      <c r="V199" s="145">
        <f t="shared" si="227"/>
        <v>0</v>
      </c>
      <c r="W199" s="128">
        <f t="shared" si="184"/>
        <v>0</v>
      </c>
      <c r="X199" t="str">
        <f t="shared" si="167"/>
        <v>1228,58</v>
      </c>
      <c r="Y199" s="151">
        <f t="shared" si="168"/>
        <v>0.05553770324869107</v>
      </c>
      <c r="Z199" s="151">
        <f t="shared" si="169"/>
        <v>6.886602435554243</v>
      </c>
    </row>
    <row r="200" spans="1:26" ht="12.75">
      <c r="A200" s="141">
        <f>+'SMAW-SMAW'!A200</f>
        <v>183</v>
      </c>
      <c r="B200" s="142">
        <v>12</v>
      </c>
      <c r="C200" s="143">
        <v>323.4</v>
      </c>
      <c r="D200" s="143">
        <v>33.34</v>
      </c>
      <c r="E200" s="144" t="s">
        <v>90</v>
      </c>
      <c r="F200" s="145">
        <f t="shared" si="214"/>
        <v>2</v>
      </c>
      <c r="G200" s="145">
        <f t="shared" si="213"/>
        <v>2</v>
      </c>
      <c r="H200" s="145">
        <f t="shared" si="215"/>
        <v>3</v>
      </c>
      <c r="I200" s="146">
        <f t="shared" si="216"/>
        <v>13.044558795642326</v>
      </c>
      <c r="J200" s="147"/>
      <c r="K200" s="145">
        <f t="shared" si="217"/>
        <v>2.5285289033593883</v>
      </c>
      <c r="L200" s="145">
        <f t="shared" si="218"/>
        <v>6</v>
      </c>
      <c r="M200" s="145">
        <f t="shared" si="219"/>
        <v>62.68000000000001</v>
      </c>
      <c r="N200" s="145">
        <f t="shared" si="220"/>
        <v>221.75749952591954</v>
      </c>
      <c r="O200" s="145">
        <f t="shared" si="221"/>
        <v>410.37705073319563</v>
      </c>
      <c r="P200" s="145">
        <f t="shared" si="222"/>
        <v>114.43852619401028</v>
      </c>
      <c r="Q200" s="147">
        <f t="shared" si="223"/>
        <v>809.2530764531253</v>
      </c>
      <c r="R200" s="147"/>
      <c r="S200" s="128">
        <f t="shared" si="224"/>
        <v>0.05358122406379048</v>
      </c>
      <c r="T200" s="128">
        <f t="shared" si="225"/>
        <v>8.502128150895286</v>
      </c>
      <c r="U200" s="145">
        <f t="shared" si="226"/>
        <v>0</v>
      </c>
      <c r="V200" s="145">
        <f t="shared" si="227"/>
        <v>0</v>
      </c>
      <c r="W200" s="128">
        <f t="shared" si="184"/>
        <v>0</v>
      </c>
      <c r="X200" t="str">
        <f t="shared" si="167"/>
        <v>1233,34</v>
      </c>
      <c r="Y200" s="151">
        <f t="shared" si="168"/>
        <v>0.05358122406379048</v>
      </c>
      <c r="Z200" s="151">
        <f t="shared" si="169"/>
        <v>8.502128150895286</v>
      </c>
    </row>
    <row r="201" spans="1:26" ht="12.75">
      <c r="A201" s="141">
        <f>+'SMAW-SMAW'!A201</f>
        <v>184</v>
      </c>
      <c r="B201" s="142"/>
      <c r="C201" s="143"/>
      <c r="D201" s="143"/>
      <c r="E201" s="144"/>
      <c r="F201" s="145"/>
      <c r="G201" s="145">
        <f aca="true" t="shared" si="228" ref="G201:G230">IF(D201&lt;2,D201,2)</f>
        <v>0</v>
      </c>
      <c r="H201" s="145"/>
      <c r="I201" s="146"/>
      <c r="J201" s="147"/>
      <c r="K201" s="145"/>
      <c r="L201" s="145"/>
      <c r="M201" s="145"/>
      <c r="N201" s="145"/>
      <c r="O201" s="145"/>
      <c r="P201" s="145"/>
      <c r="Q201" s="147"/>
      <c r="R201" s="147"/>
      <c r="S201" s="128"/>
      <c r="T201" s="128"/>
      <c r="U201" s="145"/>
      <c r="V201" s="145"/>
      <c r="W201" s="128">
        <f t="shared" si="184"/>
        <v>0</v>
      </c>
      <c r="X201">
        <f t="shared" si="167"/>
      </c>
      <c r="Y201" s="151">
        <f t="shared" si="168"/>
        <v>0</v>
      </c>
      <c r="Z201" s="151">
        <f t="shared" si="169"/>
        <v>0</v>
      </c>
    </row>
    <row r="202" spans="1:26" ht="12.75">
      <c r="A202" s="141">
        <f>+'SMAW-SMAW'!A202</f>
        <v>185</v>
      </c>
      <c r="B202" s="142">
        <v>14</v>
      </c>
      <c r="C202" s="143">
        <f aca="true" t="shared" si="229" ref="C202:C215">25.4*B202</f>
        <v>355.59999999999997</v>
      </c>
      <c r="D202" s="143">
        <v>3.96</v>
      </c>
      <c r="E202" s="144" t="s">
        <v>81</v>
      </c>
      <c r="F202" s="145">
        <f aca="true" t="shared" si="230" ref="F202:F215">IF($D$6=1,2,3)</f>
        <v>2</v>
      </c>
      <c r="G202" s="145">
        <f t="shared" si="228"/>
        <v>2</v>
      </c>
      <c r="H202" s="145">
        <f aca="true" t="shared" si="231" ref="H202:H215">IF(D202&lt;=19,2,3)</f>
        <v>2</v>
      </c>
      <c r="I202" s="146">
        <f aca="true" t="shared" si="232" ref="I202:I215">IF(D202&lt;=19,(D202-G202)*TAN($C$8*PI()/180),(19-G202)*TAN($C$8*PI()/180))</f>
        <v>1.5039608964387623</v>
      </c>
      <c r="J202" s="147"/>
      <c r="K202" s="145">
        <f aca="true" t="shared" si="233" ref="K202:K215">IF(D202&lt;=19,0,(D202-19)*TAN($C$10*PI()/180))</f>
        <v>0</v>
      </c>
      <c r="L202" s="145">
        <f aca="true" t="shared" si="234" ref="L202:L215">+F202*(G202*1.5)</f>
        <v>6</v>
      </c>
      <c r="M202" s="145">
        <f aca="true" t="shared" si="235" ref="M202:M215">+F202*(D202-G202)</f>
        <v>3.92</v>
      </c>
      <c r="N202" s="145">
        <f aca="true" t="shared" si="236" ref="N202:N215">IF(D202&lt;=19,(D202-G202)*I202,(19-G202)*I202)</f>
        <v>2.947763357019974</v>
      </c>
      <c r="O202" s="145">
        <f aca="true" t="shared" si="237" ref="O202:O215">IF(D202&lt;=19,0,(I202*(D202-19)*2)+((K202)*(D202-19)))</f>
        <v>0</v>
      </c>
      <c r="P202" s="145">
        <f aca="true" t="shared" si="238" ref="P202:P215">+(5+F202+(2*(I202+K202)))*H202</f>
        <v>20.01584358575505</v>
      </c>
      <c r="Q202" s="147">
        <f aca="true" t="shared" si="239" ref="Q202:Q215">SUM(M202:P202)</f>
        <v>26.883606942775025</v>
      </c>
      <c r="R202" s="147"/>
      <c r="S202" s="128">
        <f aca="true" t="shared" si="240" ref="S202:S215">IF(D$6=1,(PI()*(C202-(2*D202)+(2*G202))*L202*0.1*0.01*7.85*0.001/(S$16*S$17)),0)</f>
        <v>0.07227464283044581</v>
      </c>
      <c r="T202" s="128">
        <f aca="true" t="shared" si="241" ref="T202:T215">IF(D$6=1,(PI()*(C202-(0.5*D202))*(Q202)*0.1*0.01*7.85*0.001/(T$16*T$17)),0)</f>
        <v>0.32562023838390974</v>
      </c>
      <c r="U202" s="145">
        <f aca="true" t="shared" si="242" ref="U202:U215">IF(D$6=1,0,(PI()*(C202-(2*D202)+(2*G202))*L202*0.1*0.01*7.85*0.001/(U$16*U$17)))</f>
        <v>0</v>
      </c>
      <c r="V202" s="145">
        <f aca="true" t="shared" si="243" ref="V202:V215">IF(D$6=1,0,(PI()*(C202-(0.5*D202))*(Q202)*0.1*0.01*7.85*0.001/(V$16*V$17)))</f>
        <v>0</v>
      </c>
      <c r="W202" s="128">
        <f t="shared" si="184"/>
        <v>0</v>
      </c>
      <c r="X202" t="str">
        <f aca="true" t="shared" si="244" ref="X202:X265">+CONCATENATE(B202,D202)</f>
        <v>143,96</v>
      </c>
      <c r="Y202" s="151">
        <f aca="true" t="shared" si="245" ref="Y202:Y265">+S202</f>
        <v>0.07227464283044581</v>
      </c>
      <c r="Z202" s="151">
        <f aca="true" t="shared" si="246" ref="Z202:Z265">+T202</f>
        <v>0.32562023838390974</v>
      </c>
    </row>
    <row r="203" spans="1:26" ht="12.75">
      <c r="A203" s="141">
        <f>+'SMAW-SMAW'!A203</f>
        <v>186</v>
      </c>
      <c r="B203" s="142">
        <v>14</v>
      </c>
      <c r="C203" s="143">
        <f t="shared" si="229"/>
        <v>355.59999999999997</v>
      </c>
      <c r="D203" s="143">
        <v>4.78</v>
      </c>
      <c r="E203" s="144" t="s">
        <v>84</v>
      </c>
      <c r="F203" s="145">
        <f t="shared" si="230"/>
        <v>2</v>
      </c>
      <c r="G203" s="145">
        <f t="shared" si="228"/>
        <v>2</v>
      </c>
      <c r="H203" s="145">
        <f t="shared" si="231"/>
        <v>2</v>
      </c>
      <c r="I203" s="146">
        <f t="shared" si="232"/>
        <v>2.13316902658151</v>
      </c>
      <c r="J203" s="147"/>
      <c r="K203" s="145">
        <f t="shared" si="233"/>
        <v>0</v>
      </c>
      <c r="L203" s="145">
        <f t="shared" si="234"/>
        <v>6</v>
      </c>
      <c r="M203" s="145">
        <f t="shared" si="235"/>
        <v>5.5600000000000005</v>
      </c>
      <c r="N203" s="145">
        <f t="shared" si="236"/>
        <v>5.930209893896598</v>
      </c>
      <c r="O203" s="145">
        <f t="shared" si="237"/>
        <v>0</v>
      </c>
      <c r="P203" s="145">
        <f t="shared" si="238"/>
        <v>22.53267610632604</v>
      </c>
      <c r="Q203" s="147">
        <f t="shared" si="239"/>
        <v>34.02288600022264</v>
      </c>
      <c r="R203" s="147"/>
      <c r="S203" s="128">
        <f t="shared" si="240"/>
        <v>0.0719376022985932</v>
      </c>
      <c r="T203" s="128">
        <f t="shared" si="241"/>
        <v>0.4116149818545919</v>
      </c>
      <c r="U203" s="145">
        <f t="shared" si="242"/>
        <v>0</v>
      </c>
      <c r="V203" s="145">
        <f t="shared" si="243"/>
        <v>0</v>
      </c>
      <c r="W203" s="128">
        <f t="shared" si="184"/>
        <v>0</v>
      </c>
      <c r="X203" t="str">
        <f t="shared" si="244"/>
        <v>144,78</v>
      </c>
      <c r="Y203" s="151">
        <f t="shared" si="245"/>
        <v>0.0719376022985932</v>
      </c>
      <c r="Z203" s="151">
        <f t="shared" si="246"/>
        <v>0.4116149818545919</v>
      </c>
    </row>
    <row r="204" spans="1:26" ht="12.75">
      <c r="A204" s="141">
        <f>+'SMAW-SMAW'!A204</f>
        <v>187</v>
      </c>
      <c r="B204" s="142">
        <v>14</v>
      </c>
      <c r="C204" s="143">
        <f t="shared" si="229"/>
        <v>355.59999999999997</v>
      </c>
      <c r="D204" s="143">
        <v>6.35</v>
      </c>
      <c r="E204" s="144" t="s">
        <v>97</v>
      </c>
      <c r="F204" s="145">
        <f t="shared" si="230"/>
        <v>2</v>
      </c>
      <c r="G204" s="145">
        <f t="shared" si="228"/>
        <v>2</v>
      </c>
      <c r="H204" s="145">
        <f t="shared" si="231"/>
        <v>2</v>
      </c>
      <c r="I204" s="146">
        <f t="shared" si="232"/>
        <v>3.337872397708477</v>
      </c>
      <c r="J204" s="147"/>
      <c r="K204" s="145">
        <f t="shared" si="233"/>
        <v>0</v>
      </c>
      <c r="L204" s="145">
        <f t="shared" si="234"/>
        <v>6</v>
      </c>
      <c r="M204" s="145">
        <f t="shared" si="235"/>
        <v>8.7</v>
      </c>
      <c r="N204" s="145">
        <f t="shared" si="236"/>
        <v>14.519744930031875</v>
      </c>
      <c r="O204" s="145">
        <f t="shared" si="237"/>
        <v>0</v>
      </c>
      <c r="P204" s="145">
        <f t="shared" si="238"/>
        <v>27.351489590833907</v>
      </c>
      <c r="Q204" s="147">
        <f t="shared" si="239"/>
        <v>50.57123452086578</v>
      </c>
      <c r="R204" s="147"/>
      <c r="S204" s="128">
        <f t="shared" si="240"/>
        <v>0.07129229298760707</v>
      </c>
      <c r="T204" s="128">
        <f t="shared" si="241"/>
        <v>0.6104601189572854</v>
      </c>
      <c r="U204" s="145">
        <f t="shared" si="242"/>
        <v>0</v>
      </c>
      <c r="V204" s="145">
        <f t="shared" si="243"/>
        <v>0</v>
      </c>
      <c r="W204" s="128">
        <f t="shared" si="184"/>
        <v>0</v>
      </c>
      <c r="X204" t="str">
        <f t="shared" si="244"/>
        <v>146,35</v>
      </c>
      <c r="Y204" s="151">
        <f t="shared" si="245"/>
        <v>0.07129229298760707</v>
      </c>
      <c r="Z204" s="151">
        <f t="shared" si="246"/>
        <v>0.6104601189572854</v>
      </c>
    </row>
    <row r="205" spans="1:26" ht="12.75">
      <c r="A205" s="141">
        <f>+'SMAW-SMAW'!A205</f>
        <v>188</v>
      </c>
      <c r="B205" s="142">
        <v>14</v>
      </c>
      <c r="C205" s="143">
        <f t="shared" si="229"/>
        <v>355.59999999999997</v>
      </c>
      <c r="D205" s="143">
        <v>7.92</v>
      </c>
      <c r="E205" s="144" t="s">
        <v>92</v>
      </c>
      <c r="F205" s="145">
        <f t="shared" si="230"/>
        <v>2</v>
      </c>
      <c r="G205" s="145">
        <f t="shared" si="228"/>
        <v>2</v>
      </c>
      <c r="H205" s="145">
        <f t="shared" si="231"/>
        <v>2</v>
      </c>
      <c r="I205" s="146">
        <f t="shared" si="232"/>
        <v>4.542575768835445</v>
      </c>
      <c r="J205" s="147"/>
      <c r="K205" s="145">
        <f t="shared" si="233"/>
        <v>0</v>
      </c>
      <c r="L205" s="145">
        <f t="shared" si="234"/>
        <v>6</v>
      </c>
      <c r="M205" s="145">
        <f t="shared" si="235"/>
        <v>11.84</v>
      </c>
      <c r="N205" s="145">
        <f t="shared" si="236"/>
        <v>26.892048551505837</v>
      </c>
      <c r="O205" s="145">
        <f t="shared" si="237"/>
        <v>0</v>
      </c>
      <c r="P205" s="145">
        <f t="shared" si="238"/>
        <v>32.17030307534178</v>
      </c>
      <c r="Q205" s="147">
        <f t="shared" si="239"/>
        <v>70.90235162684762</v>
      </c>
      <c r="R205" s="147"/>
      <c r="S205" s="128">
        <f t="shared" si="240"/>
        <v>0.07064698367662095</v>
      </c>
      <c r="T205" s="128">
        <f t="shared" si="241"/>
        <v>0.8539765478054097</v>
      </c>
      <c r="U205" s="145">
        <f t="shared" si="242"/>
        <v>0</v>
      </c>
      <c r="V205" s="145">
        <f t="shared" si="243"/>
        <v>0</v>
      </c>
      <c r="W205" s="128">
        <f t="shared" si="184"/>
        <v>0</v>
      </c>
      <c r="X205" t="str">
        <f t="shared" si="244"/>
        <v>147,92</v>
      </c>
      <c r="Y205" s="151">
        <f t="shared" si="245"/>
        <v>0.07064698367662095</v>
      </c>
      <c r="Z205" s="151">
        <f t="shared" si="246"/>
        <v>0.8539765478054097</v>
      </c>
    </row>
    <row r="206" spans="1:26" ht="12.75">
      <c r="A206" s="141">
        <f>+'SMAW-SMAW'!A206</f>
        <v>189</v>
      </c>
      <c r="B206" s="142">
        <v>14</v>
      </c>
      <c r="C206" s="143">
        <f t="shared" si="229"/>
        <v>355.59999999999997</v>
      </c>
      <c r="D206" s="143">
        <v>9.52</v>
      </c>
      <c r="E206" s="144" t="s">
        <v>93</v>
      </c>
      <c r="F206" s="145">
        <f t="shared" si="230"/>
        <v>2</v>
      </c>
      <c r="G206" s="145">
        <f t="shared" si="228"/>
        <v>2</v>
      </c>
      <c r="H206" s="145">
        <f t="shared" si="231"/>
        <v>2</v>
      </c>
      <c r="I206" s="146">
        <f t="shared" si="232"/>
        <v>5.770298949601782</v>
      </c>
      <c r="J206" s="147"/>
      <c r="K206" s="145">
        <f t="shared" si="233"/>
        <v>0</v>
      </c>
      <c r="L206" s="145">
        <f t="shared" si="234"/>
        <v>6</v>
      </c>
      <c r="M206" s="145">
        <f t="shared" si="235"/>
        <v>15.04</v>
      </c>
      <c r="N206" s="145">
        <f t="shared" si="236"/>
        <v>43.39264810100539</v>
      </c>
      <c r="O206" s="145">
        <f t="shared" si="237"/>
        <v>0</v>
      </c>
      <c r="P206" s="145">
        <f t="shared" si="238"/>
        <v>37.08119579840712</v>
      </c>
      <c r="Q206" s="147">
        <f t="shared" si="239"/>
        <v>95.5138438994125</v>
      </c>
      <c r="R206" s="147"/>
      <c r="S206" s="128">
        <f t="shared" si="240"/>
        <v>0.06998934361446948</v>
      </c>
      <c r="T206" s="128">
        <f t="shared" si="241"/>
        <v>1.1477900581675722</v>
      </c>
      <c r="U206" s="145">
        <f t="shared" si="242"/>
        <v>0</v>
      </c>
      <c r="V206" s="145">
        <f t="shared" si="243"/>
        <v>0</v>
      </c>
      <c r="W206" s="128">
        <f t="shared" si="184"/>
        <v>0</v>
      </c>
      <c r="X206" t="str">
        <f t="shared" si="244"/>
        <v>149,52</v>
      </c>
      <c r="Y206" s="151">
        <f t="shared" si="245"/>
        <v>0.06998934361446948</v>
      </c>
      <c r="Z206" s="151">
        <f t="shared" si="246"/>
        <v>1.1477900581675722</v>
      </c>
    </row>
    <row r="207" spans="1:26" ht="12.75">
      <c r="A207" s="141">
        <f>+'SMAW-SMAW'!A207</f>
        <v>190</v>
      </c>
      <c r="B207" s="142">
        <v>14</v>
      </c>
      <c r="C207" s="143">
        <f t="shared" si="229"/>
        <v>355.59999999999997</v>
      </c>
      <c r="D207" s="143">
        <v>9.52</v>
      </c>
      <c r="E207" s="144" t="s">
        <v>86</v>
      </c>
      <c r="F207" s="145">
        <f t="shared" si="230"/>
        <v>2</v>
      </c>
      <c r="G207" s="145">
        <f t="shared" si="228"/>
        <v>2</v>
      </c>
      <c r="H207" s="145">
        <f t="shared" si="231"/>
        <v>2</v>
      </c>
      <c r="I207" s="146">
        <f t="shared" si="232"/>
        <v>5.770298949601782</v>
      </c>
      <c r="J207" s="147"/>
      <c r="K207" s="145">
        <f t="shared" si="233"/>
        <v>0</v>
      </c>
      <c r="L207" s="145">
        <f t="shared" si="234"/>
        <v>6</v>
      </c>
      <c r="M207" s="145">
        <f t="shared" si="235"/>
        <v>15.04</v>
      </c>
      <c r="N207" s="145">
        <f t="shared" si="236"/>
        <v>43.39264810100539</v>
      </c>
      <c r="O207" s="145">
        <f t="shared" si="237"/>
        <v>0</v>
      </c>
      <c r="P207" s="145">
        <f t="shared" si="238"/>
        <v>37.08119579840712</v>
      </c>
      <c r="Q207" s="147">
        <f t="shared" si="239"/>
        <v>95.5138438994125</v>
      </c>
      <c r="R207" s="147"/>
      <c r="S207" s="128">
        <f t="shared" si="240"/>
        <v>0.06998934361446948</v>
      </c>
      <c r="T207" s="128">
        <f t="shared" si="241"/>
        <v>1.1477900581675722</v>
      </c>
      <c r="U207" s="145">
        <f t="shared" si="242"/>
        <v>0</v>
      </c>
      <c r="V207" s="145">
        <f t="shared" si="243"/>
        <v>0</v>
      </c>
      <c r="W207" s="128">
        <f t="shared" si="184"/>
        <v>0</v>
      </c>
      <c r="X207" t="str">
        <f t="shared" si="244"/>
        <v>149,52</v>
      </c>
      <c r="Y207" s="151">
        <f t="shared" si="245"/>
        <v>0.06998934361446948</v>
      </c>
      <c r="Z207" s="151">
        <f t="shared" si="246"/>
        <v>1.1477900581675722</v>
      </c>
    </row>
    <row r="208" spans="1:26" ht="12.75">
      <c r="A208" s="141">
        <f>+'SMAW-SMAW'!A208</f>
        <v>191</v>
      </c>
      <c r="B208" s="142">
        <v>14</v>
      </c>
      <c r="C208" s="143">
        <f t="shared" si="229"/>
        <v>355.59999999999997</v>
      </c>
      <c r="D208" s="143">
        <v>11.13</v>
      </c>
      <c r="E208" s="144" t="s">
        <v>87</v>
      </c>
      <c r="F208" s="145">
        <f t="shared" si="230"/>
        <v>2</v>
      </c>
      <c r="G208" s="145">
        <f t="shared" si="228"/>
        <v>2</v>
      </c>
      <c r="H208" s="145">
        <f t="shared" si="231"/>
        <v>2</v>
      </c>
      <c r="I208" s="146">
        <f t="shared" si="232"/>
        <v>7.005695400247909</v>
      </c>
      <c r="J208" s="147"/>
      <c r="K208" s="145">
        <f t="shared" si="233"/>
        <v>0</v>
      </c>
      <c r="L208" s="145">
        <f t="shared" si="234"/>
        <v>6</v>
      </c>
      <c r="M208" s="145">
        <f t="shared" si="235"/>
        <v>18.26</v>
      </c>
      <c r="N208" s="145">
        <f t="shared" si="236"/>
        <v>63.96199900426341</v>
      </c>
      <c r="O208" s="145">
        <f t="shared" si="237"/>
        <v>0</v>
      </c>
      <c r="P208" s="145">
        <f t="shared" si="238"/>
        <v>42.022781600991635</v>
      </c>
      <c r="Q208" s="147">
        <f t="shared" si="239"/>
        <v>124.24478060525504</v>
      </c>
      <c r="R208" s="147"/>
      <c r="S208" s="128">
        <f t="shared" si="240"/>
        <v>0.06932759330192956</v>
      </c>
      <c r="T208" s="128">
        <f t="shared" si="241"/>
        <v>1.4896239909278939</v>
      </c>
      <c r="U208" s="145">
        <f t="shared" si="242"/>
        <v>0</v>
      </c>
      <c r="V208" s="145">
        <f t="shared" si="243"/>
        <v>0</v>
      </c>
      <c r="W208" s="128">
        <f t="shared" si="184"/>
        <v>0</v>
      </c>
      <c r="X208" t="str">
        <f t="shared" si="244"/>
        <v>1411,13</v>
      </c>
      <c r="Y208" s="151">
        <f t="shared" si="245"/>
        <v>0.06932759330192956</v>
      </c>
      <c r="Z208" s="151">
        <f t="shared" si="246"/>
        <v>1.4896239909278939</v>
      </c>
    </row>
    <row r="209" spans="1:26" ht="12.75">
      <c r="A209" s="141">
        <f>+'SMAW-SMAW'!A209</f>
        <v>192</v>
      </c>
      <c r="B209" s="142">
        <v>14</v>
      </c>
      <c r="C209" s="143">
        <f t="shared" si="229"/>
        <v>355.59999999999997</v>
      </c>
      <c r="D209" s="143">
        <v>12.701</v>
      </c>
      <c r="E209" s="144" t="s">
        <v>82</v>
      </c>
      <c r="F209" s="145">
        <f t="shared" si="230"/>
        <v>2</v>
      </c>
      <c r="G209" s="145">
        <f t="shared" si="228"/>
        <v>2</v>
      </c>
      <c r="H209" s="145">
        <f t="shared" si="231"/>
        <v>2</v>
      </c>
      <c r="I209" s="146">
        <f t="shared" si="232"/>
        <v>8.211166098362856</v>
      </c>
      <c r="J209" s="147"/>
      <c r="K209" s="145">
        <f t="shared" si="233"/>
        <v>0</v>
      </c>
      <c r="L209" s="145">
        <f t="shared" si="234"/>
        <v>6</v>
      </c>
      <c r="M209" s="145">
        <f t="shared" si="235"/>
        <v>21.402</v>
      </c>
      <c r="N209" s="145">
        <f t="shared" si="236"/>
        <v>87.86768841858093</v>
      </c>
      <c r="O209" s="145">
        <f t="shared" si="237"/>
        <v>0</v>
      </c>
      <c r="P209" s="145">
        <f t="shared" si="238"/>
        <v>46.844664393451424</v>
      </c>
      <c r="Q209" s="147">
        <f t="shared" si="239"/>
        <v>156.11435281203234</v>
      </c>
      <c r="R209" s="147"/>
      <c r="S209" s="128">
        <f t="shared" si="240"/>
        <v>0.0686818729659046</v>
      </c>
      <c r="T209" s="128">
        <f t="shared" si="241"/>
        <v>1.8675217092225658</v>
      </c>
      <c r="U209" s="145">
        <f t="shared" si="242"/>
        <v>0</v>
      </c>
      <c r="V209" s="145">
        <f t="shared" si="243"/>
        <v>0</v>
      </c>
      <c r="W209" s="128">
        <f t="shared" si="184"/>
        <v>0</v>
      </c>
      <c r="X209" t="str">
        <f t="shared" si="244"/>
        <v>1412,701</v>
      </c>
      <c r="Y209" s="151">
        <f t="shared" si="245"/>
        <v>0.0686818729659046</v>
      </c>
      <c r="Z209" s="151">
        <f t="shared" si="246"/>
        <v>1.8675217092225658</v>
      </c>
    </row>
    <row r="210" spans="1:26" ht="12.75">
      <c r="A210" s="141">
        <f>+'SMAW-SMAW'!A210</f>
        <v>193</v>
      </c>
      <c r="B210" s="142">
        <v>14</v>
      </c>
      <c r="C210" s="143">
        <f t="shared" si="229"/>
        <v>355.59999999999997</v>
      </c>
      <c r="D210" s="143">
        <v>15.09</v>
      </c>
      <c r="E210" s="144" t="s">
        <v>94</v>
      </c>
      <c r="F210" s="145">
        <f t="shared" si="230"/>
        <v>2</v>
      </c>
      <c r="G210" s="145">
        <f t="shared" si="228"/>
        <v>2</v>
      </c>
      <c r="H210" s="145">
        <f t="shared" si="231"/>
        <v>2</v>
      </c>
      <c r="I210" s="146">
        <f t="shared" si="232"/>
        <v>10.04431027264459</v>
      </c>
      <c r="J210" s="147"/>
      <c r="K210" s="145">
        <f t="shared" si="233"/>
        <v>0</v>
      </c>
      <c r="L210" s="145">
        <f t="shared" si="234"/>
        <v>6</v>
      </c>
      <c r="M210" s="145">
        <f t="shared" si="235"/>
        <v>26.18</v>
      </c>
      <c r="N210" s="145">
        <f t="shared" si="236"/>
        <v>131.4800214689177</v>
      </c>
      <c r="O210" s="145">
        <f t="shared" si="237"/>
        <v>0</v>
      </c>
      <c r="P210" s="145">
        <f t="shared" si="238"/>
        <v>54.17724109057836</v>
      </c>
      <c r="Q210" s="147">
        <f t="shared" si="239"/>
        <v>211.83726255949608</v>
      </c>
      <c r="R210" s="147"/>
      <c r="S210" s="128">
        <f t="shared" si="240"/>
        <v>0.06769993414810468</v>
      </c>
      <c r="T210" s="128">
        <f t="shared" si="241"/>
        <v>2.525441225849745</v>
      </c>
      <c r="U210" s="145">
        <f t="shared" si="242"/>
        <v>0</v>
      </c>
      <c r="V210" s="145">
        <f t="shared" si="243"/>
        <v>0</v>
      </c>
      <c r="W210" s="128">
        <f aca="true" t="shared" si="247" ref="W210:W273">SUM(U210:V210)</f>
        <v>0</v>
      </c>
      <c r="X210" t="str">
        <f t="shared" si="244"/>
        <v>1415,09</v>
      </c>
      <c r="Y210" s="151">
        <f t="shared" si="245"/>
        <v>0.06769993414810468</v>
      </c>
      <c r="Z210" s="151">
        <f t="shared" si="246"/>
        <v>2.525441225849745</v>
      </c>
    </row>
    <row r="211" spans="1:26" ht="12.75">
      <c r="A211" s="141">
        <f>+'SMAW-SMAW'!A211</f>
        <v>194</v>
      </c>
      <c r="B211" s="142">
        <v>14</v>
      </c>
      <c r="C211" s="143">
        <f t="shared" si="229"/>
        <v>355.59999999999997</v>
      </c>
      <c r="D211" s="143">
        <v>19.05</v>
      </c>
      <c r="E211" s="144" t="s">
        <v>89</v>
      </c>
      <c r="F211" s="145">
        <f t="shared" si="230"/>
        <v>2</v>
      </c>
      <c r="G211" s="145">
        <f t="shared" si="228"/>
        <v>2</v>
      </c>
      <c r="H211" s="145">
        <f t="shared" si="231"/>
        <v>3</v>
      </c>
      <c r="I211" s="146">
        <f t="shared" si="232"/>
        <v>13.044558795642326</v>
      </c>
      <c r="J211" s="147"/>
      <c r="K211" s="145">
        <f t="shared" si="233"/>
        <v>0.008816349035423374</v>
      </c>
      <c r="L211" s="145">
        <f t="shared" si="234"/>
        <v>6</v>
      </c>
      <c r="M211" s="145">
        <f t="shared" si="235"/>
        <v>34.1</v>
      </c>
      <c r="N211" s="145">
        <f t="shared" si="236"/>
        <v>221.75749952591954</v>
      </c>
      <c r="O211" s="145">
        <f t="shared" si="237"/>
        <v>1.3048966970160223</v>
      </c>
      <c r="P211" s="145">
        <f t="shared" si="238"/>
        <v>99.32025086806651</v>
      </c>
      <c r="Q211" s="147">
        <f t="shared" si="239"/>
        <v>356.4826470910021</v>
      </c>
      <c r="R211" s="147"/>
      <c r="S211" s="128">
        <f t="shared" si="240"/>
        <v>0.06607227499427981</v>
      </c>
      <c r="T211" s="128">
        <f t="shared" si="241"/>
        <v>4.225670743781482</v>
      </c>
      <c r="U211" s="145">
        <f t="shared" si="242"/>
        <v>0</v>
      </c>
      <c r="V211" s="145">
        <f t="shared" si="243"/>
        <v>0</v>
      </c>
      <c r="W211" s="128">
        <f t="shared" si="247"/>
        <v>0</v>
      </c>
      <c r="X211" t="str">
        <f t="shared" si="244"/>
        <v>1419,05</v>
      </c>
      <c r="Y211" s="151">
        <f t="shared" si="245"/>
        <v>0.06607227499427981</v>
      </c>
      <c r="Z211" s="151">
        <f t="shared" si="246"/>
        <v>4.225670743781482</v>
      </c>
    </row>
    <row r="212" spans="1:26" ht="12.75">
      <c r="A212" s="141">
        <f>+'SMAW-SMAW'!A212</f>
        <v>195</v>
      </c>
      <c r="B212" s="142">
        <v>14</v>
      </c>
      <c r="C212" s="143">
        <f t="shared" si="229"/>
        <v>355.59999999999997</v>
      </c>
      <c r="D212" s="143">
        <v>23.82</v>
      </c>
      <c r="E212" s="144" t="s">
        <v>95</v>
      </c>
      <c r="F212" s="145">
        <f t="shared" si="230"/>
        <v>2</v>
      </c>
      <c r="G212" s="145">
        <f t="shared" si="228"/>
        <v>2</v>
      </c>
      <c r="H212" s="145">
        <f t="shared" si="231"/>
        <v>3</v>
      </c>
      <c r="I212" s="146">
        <f t="shared" si="232"/>
        <v>13.044558795642326</v>
      </c>
      <c r="J212" s="147"/>
      <c r="K212" s="145">
        <f t="shared" si="233"/>
        <v>0.8498960470148013</v>
      </c>
      <c r="L212" s="145">
        <f t="shared" si="234"/>
        <v>6</v>
      </c>
      <c r="M212" s="145">
        <f t="shared" si="235"/>
        <v>43.64</v>
      </c>
      <c r="N212" s="145">
        <f t="shared" si="236"/>
        <v>221.75749952591954</v>
      </c>
      <c r="O212" s="145">
        <f t="shared" si="237"/>
        <v>129.84604573660337</v>
      </c>
      <c r="P212" s="145">
        <f t="shared" si="238"/>
        <v>104.36672905594276</v>
      </c>
      <c r="Q212" s="147">
        <f t="shared" si="239"/>
        <v>499.6102743184657</v>
      </c>
      <c r="R212" s="147"/>
      <c r="S212" s="128">
        <f t="shared" si="240"/>
        <v>0.06411168555899077</v>
      </c>
      <c r="T212" s="128">
        <f t="shared" si="241"/>
        <v>5.8814619271357405</v>
      </c>
      <c r="U212" s="145">
        <f t="shared" si="242"/>
        <v>0</v>
      </c>
      <c r="V212" s="145">
        <f t="shared" si="243"/>
        <v>0</v>
      </c>
      <c r="W212" s="128">
        <f t="shared" si="247"/>
        <v>0</v>
      </c>
      <c r="X212" t="str">
        <f t="shared" si="244"/>
        <v>1423,82</v>
      </c>
      <c r="Y212" s="151">
        <f t="shared" si="245"/>
        <v>0.06411168555899077</v>
      </c>
      <c r="Z212" s="151">
        <f t="shared" si="246"/>
        <v>5.8814619271357405</v>
      </c>
    </row>
    <row r="213" spans="1:26" ht="12.75">
      <c r="A213" s="141">
        <f>+'SMAW-SMAW'!A213</f>
        <v>196</v>
      </c>
      <c r="B213" s="142">
        <v>14</v>
      </c>
      <c r="C213" s="143">
        <f t="shared" si="229"/>
        <v>355.59999999999997</v>
      </c>
      <c r="D213" s="143">
        <v>27.79</v>
      </c>
      <c r="E213" s="144" t="s">
        <v>91</v>
      </c>
      <c r="F213" s="145">
        <f t="shared" si="230"/>
        <v>2</v>
      </c>
      <c r="G213" s="145">
        <f t="shared" si="228"/>
        <v>2</v>
      </c>
      <c r="H213" s="145">
        <f t="shared" si="231"/>
        <v>3</v>
      </c>
      <c r="I213" s="146">
        <f t="shared" si="232"/>
        <v>13.044558795642326</v>
      </c>
      <c r="J213" s="147"/>
      <c r="K213" s="145">
        <f t="shared" si="233"/>
        <v>1.549914160427407</v>
      </c>
      <c r="L213" s="145">
        <f t="shared" si="234"/>
        <v>6</v>
      </c>
      <c r="M213" s="145">
        <f t="shared" si="235"/>
        <v>51.58</v>
      </c>
      <c r="N213" s="145">
        <f t="shared" si="236"/>
        <v>221.75749952591954</v>
      </c>
      <c r="O213" s="145">
        <f t="shared" si="237"/>
        <v>242.94708909754897</v>
      </c>
      <c r="P213" s="145">
        <f t="shared" si="238"/>
        <v>108.56683773641839</v>
      </c>
      <c r="Q213" s="147">
        <f t="shared" si="239"/>
        <v>624.8514263598869</v>
      </c>
      <c r="R213" s="147"/>
      <c r="S213" s="128">
        <f t="shared" si="240"/>
        <v>0.06247991615477746</v>
      </c>
      <c r="T213" s="128">
        <f t="shared" si="241"/>
        <v>7.313329353844876</v>
      </c>
      <c r="U213" s="145">
        <f t="shared" si="242"/>
        <v>0</v>
      </c>
      <c r="V213" s="145">
        <f t="shared" si="243"/>
        <v>0</v>
      </c>
      <c r="W213" s="128">
        <f t="shared" si="247"/>
        <v>0</v>
      </c>
      <c r="X213" t="str">
        <f t="shared" si="244"/>
        <v>1427,79</v>
      </c>
      <c r="Y213" s="151">
        <f t="shared" si="245"/>
        <v>0.06247991615477746</v>
      </c>
      <c r="Z213" s="151">
        <f t="shared" si="246"/>
        <v>7.313329353844876</v>
      </c>
    </row>
    <row r="214" spans="1:26" ht="12.75">
      <c r="A214" s="141">
        <f>+'SMAW-SMAW'!A214</f>
        <v>197</v>
      </c>
      <c r="B214" s="142">
        <v>14</v>
      </c>
      <c r="C214" s="143">
        <f t="shared" si="229"/>
        <v>355.59999999999997</v>
      </c>
      <c r="D214" s="143">
        <v>31.75</v>
      </c>
      <c r="E214" s="144" t="s">
        <v>96</v>
      </c>
      <c r="F214" s="145">
        <f t="shared" si="230"/>
        <v>2</v>
      </c>
      <c r="G214" s="145">
        <f t="shared" si="228"/>
        <v>2</v>
      </c>
      <c r="H214" s="145">
        <f t="shared" si="231"/>
        <v>3</v>
      </c>
      <c r="I214" s="146">
        <f t="shared" si="232"/>
        <v>13.044558795642326</v>
      </c>
      <c r="J214" s="147"/>
      <c r="K214" s="145">
        <f t="shared" si="233"/>
        <v>2.2481690040329285</v>
      </c>
      <c r="L214" s="145">
        <f t="shared" si="234"/>
        <v>6</v>
      </c>
      <c r="M214" s="145">
        <f t="shared" si="235"/>
        <v>59.5</v>
      </c>
      <c r="N214" s="145">
        <f t="shared" si="236"/>
        <v>221.75749952591954</v>
      </c>
      <c r="O214" s="145">
        <f t="shared" si="237"/>
        <v>361.30040409029914</v>
      </c>
      <c r="P214" s="145">
        <f t="shared" si="238"/>
        <v>112.75636679805153</v>
      </c>
      <c r="Q214" s="147">
        <f t="shared" si="239"/>
        <v>755.3142704142703</v>
      </c>
      <c r="R214" s="147"/>
      <c r="S214" s="128">
        <f t="shared" si="240"/>
        <v>0.060852257000952585</v>
      </c>
      <c r="T214" s="128">
        <f t="shared" si="241"/>
        <v>8.789055974858082</v>
      </c>
      <c r="U214" s="145">
        <f t="shared" si="242"/>
        <v>0</v>
      </c>
      <c r="V214" s="145">
        <f t="shared" si="243"/>
        <v>0</v>
      </c>
      <c r="W214" s="128">
        <f t="shared" si="247"/>
        <v>0</v>
      </c>
      <c r="X214" t="str">
        <f t="shared" si="244"/>
        <v>1431,75</v>
      </c>
      <c r="Y214" s="151">
        <f t="shared" si="245"/>
        <v>0.060852257000952585</v>
      </c>
      <c r="Z214" s="151">
        <f t="shared" si="246"/>
        <v>8.789055974858082</v>
      </c>
    </row>
    <row r="215" spans="1:26" ht="12.75">
      <c r="A215" s="141">
        <f>+'SMAW-SMAW'!A215</f>
        <v>198</v>
      </c>
      <c r="B215" s="142">
        <v>14</v>
      </c>
      <c r="C215" s="143">
        <f t="shared" si="229"/>
        <v>355.59999999999997</v>
      </c>
      <c r="D215" s="143">
        <v>35.71</v>
      </c>
      <c r="E215" s="144" t="s">
        <v>90</v>
      </c>
      <c r="F215" s="145">
        <f t="shared" si="230"/>
        <v>2</v>
      </c>
      <c r="G215" s="145">
        <f t="shared" si="228"/>
        <v>2</v>
      </c>
      <c r="H215" s="145">
        <f t="shared" si="231"/>
        <v>3</v>
      </c>
      <c r="I215" s="146">
        <f t="shared" si="232"/>
        <v>13.044558795642326</v>
      </c>
      <c r="J215" s="147"/>
      <c r="K215" s="145">
        <f t="shared" si="233"/>
        <v>2.94642384763845</v>
      </c>
      <c r="L215" s="145">
        <f t="shared" si="234"/>
        <v>6</v>
      </c>
      <c r="M215" s="145">
        <f t="shared" si="235"/>
        <v>67.42</v>
      </c>
      <c r="N215" s="145">
        <f t="shared" si="236"/>
        <v>221.75749952591954</v>
      </c>
      <c r="O215" s="145">
        <f t="shared" si="237"/>
        <v>485.18389744440503</v>
      </c>
      <c r="P215" s="145">
        <f t="shared" si="238"/>
        <v>116.94589585968464</v>
      </c>
      <c r="Q215" s="147">
        <f t="shared" si="239"/>
        <v>891.3072928300091</v>
      </c>
      <c r="R215" s="147"/>
      <c r="S215" s="128">
        <f t="shared" si="240"/>
        <v>0.059224597847127726</v>
      </c>
      <c r="T215" s="128">
        <f t="shared" si="241"/>
        <v>10.311062550221827</v>
      </c>
      <c r="U215" s="145">
        <f t="shared" si="242"/>
        <v>0</v>
      </c>
      <c r="V215" s="145">
        <f t="shared" si="243"/>
        <v>0</v>
      </c>
      <c r="W215" s="128">
        <f t="shared" si="247"/>
        <v>0</v>
      </c>
      <c r="X215" t="str">
        <f t="shared" si="244"/>
        <v>1435,71</v>
      </c>
      <c r="Y215" s="151">
        <f t="shared" si="245"/>
        <v>0.059224597847127726</v>
      </c>
      <c r="Z215" s="151">
        <f t="shared" si="246"/>
        <v>10.311062550221827</v>
      </c>
    </row>
    <row r="216" spans="1:26" ht="12.75">
      <c r="A216" s="141">
        <f>+'SMAW-SMAW'!A216</f>
        <v>199</v>
      </c>
      <c r="B216" s="142"/>
      <c r="C216" s="143"/>
      <c r="D216" s="143"/>
      <c r="E216" s="144"/>
      <c r="F216" s="145"/>
      <c r="G216" s="145">
        <f t="shared" si="228"/>
        <v>0</v>
      </c>
      <c r="H216" s="145"/>
      <c r="I216" s="146"/>
      <c r="J216" s="147"/>
      <c r="K216" s="145"/>
      <c r="L216" s="145"/>
      <c r="M216" s="145"/>
      <c r="N216" s="145"/>
      <c r="O216" s="145"/>
      <c r="P216" s="145"/>
      <c r="Q216" s="147"/>
      <c r="R216" s="147"/>
      <c r="S216" s="128"/>
      <c r="T216" s="128"/>
      <c r="U216" s="145"/>
      <c r="V216" s="145"/>
      <c r="W216" s="128">
        <f t="shared" si="247"/>
        <v>0</v>
      </c>
      <c r="X216">
        <f t="shared" si="244"/>
      </c>
      <c r="Y216" s="151">
        <f t="shared" si="245"/>
        <v>0</v>
      </c>
      <c r="Z216" s="151">
        <f t="shared" si="246"/>
        <v>0</v>
      </c>
    </row>
    <row r="217" spans="1:26" ht="12.75">
      <c r="A217" s="141">
        <f>+'SMAW-SMAW'!A217</f>
        <v>200</v>
      </c>
      <c r="B217" s="142">
        <v>16</v>
      </c>
      <c r="C217" s="143">
        <f aca="true" t="shared" si="248" ref="C217:C230">25.4*B217</f>
        <v>406.4</v>
      </c>
      <c r="D217" s="143">
        <v>4.19</v>
      </c>
      <c r="E217" s="144" t="s">
        <v>81</v>
      </c>
      <c r="F217" s="145">
        <f aca="true" t="shared" si="249" ref="F217:F230">IF($D$6=1,2,3)</f>
        <v>2</v>
      </c>
      <c r="G217" s="145">
        <f t="shared" si="228"/>
        <v>2</v>
      </c>
      <c r="H217" s="145">
        <f aca="true" t="shared" si="250" ref="H217:H230">IF(D217&lt;=19,2,3)</f>
        <v>2</v>
      </c>
      <c r="I217" s="146">
        <f aca="true" t="shared" si="251" ref="I217:I230">IF(D217&lt;=19,(D217-G217)*TAN($C$8*PI()/180),(19-G217)*TAN($C$8*PI()/180))</f>
        <v>1.6804461036739236</v>
      </c>
      <c r="J217" s="147"/>
      <c r="K217" s="145">
        <f aca="true" t="shared" si="252" ref="K217:K230">IF(D217&lt;=19,0,(D217-19)*TAN($C$10*PI()/180))</f>
        <v>0</v>
      </c>
      <c r="L217" s="145">
        <f aca="true" t="shared" si="253" ref="L217:L230">+F217*(G217*1.5)</f>
        <v>6</v>
      </c>
      <c r="M217" s="145">
        <f aca="true" t="shared" si="254" ref="M217:M230">+F217*(D217-G217)</f>
        <v>4.380000000000001</v>
      </c>
      <c r="N217" s="145">
        <f aca="true" t="shared" si="255" ref="N217:N230">IF(D217&lt;=19,(D217-G217)*I217,(19-G217)*I217)</f>
        <v>3.680176967045893</v>
      </c>
      <c r="O217" s="145">
        <f aca="true" t="shared" si="256" ref="O217:O230">IF(D217&lt;=19,0,(I217*(D217-19)*2)+((K217)*(D217-19)))</f>
        <v>0</v>
      </c>
      <c r="P217" s="145">
        <f aca="true" t="shared" si="257" ref="P217:P230">+(5+F217+(2*(I217+K217)))*H217</f>
        <v>20.721784414695694</v>
      </c>
      <c r="Q217" s="147">
        <f aca="true" t="shared" si="258" ref="Q217:Q230">SUM(M217:P217)</f>
        <v>28.78196138174159</v>
      </c>
      <c r="R217" s="147"/>
      <c r="S217" s="128">
        <f aca="true" t="shared" si="259" ref="S217:S230">IF(D$6=1,(PI()*(C217-(2*D217)+(2*G217))*L217*0.1*0.01*7.85*0.001/(S$16*S$17)),0)</f>
        <v>0.082620143058166</v>
      </c>
      <c r="T217" s="128">
        <f aca="true" t="shared" si="260" ref="T217:T230">IF(D$6=1,(PI()*(C217-(0.5*D217))*(Q217)*0.1*0.01*7.85*0.001/(T$16*T$17)),0)</f>
        <v>0.39858094397788946</v>
      </c>
      <c r="U217" s="145">
        <f aca="true" t="shared" si="261" ref="U217:U230">IF(D$6=1,0,(PI()*(C217-(2*D217)+(2*G217))*L217*0.1*0.01*7.85*0.001/(U$16*U$17)))</f>
        <v>0</v>
      </c>
      <c r="V217" s="145">
        <f aca="true" t="shared" si="262" ref="V217:V230">IF(D$6=1,0,(PI()*(C217-(0.5*D217))*(Q217)*0.1*0.01*7.85*0.001/(V$16*V$17)))</f>
        <v>0</v>
      </c>
      <c r="W217" s="128">
        <f t="shared" si="247"/>
        <v>0</v>
      </c>
      <c r="X217" t="str">
        <f t="shared" si="244"/>
        <v>164,19</v>
      </c>
      <c r="Y217" s="151">
        <f t="shared" si="245"/>
        <v>0.082620143058166</v>
      </c>
      <c r="Z217" s="151">
        <f t="shared" si="246"/>
        <v>0.39858094397788946</v>
      </c>
    </row>
    <row r="218" spans="1:26" ht="12.75">
      <c r="A218" s="141">
        <f>+'SMAW-SMAW'!A218</f>
        <v>201</v>
      </c>
      <c r="B218" s="142">
        <v>16</v>
      </c>
      <c r="C218" s="143">
        <f t="shared" si="248"/>
        <v>406.4</v>
      </c>
      <c r="D218" s="143">
        <v>4.78</v>
      </c>
      <c r="E218" s="144" t="s">
        <v>84</v>
      </c>
      <c r="F218" s="145">
        <f t="shared" si="249"/>
        <v>2</v>
      </c>
      <c r="G218" s="145">
        <f t="shared" si="228"/>
        <v>2</v>
      </c>
      <c r="H218" s="145">
        <f t="shared" si="250"/>
        <v>2</v>
      </c>
      <c r="I218" s="146">
        <f t="shared" si="251"/>
        <v>2.13316902658151</v>
      </c>
      <c r="J218" s="147"/>
      <c r="K218" s="145">
        <f t="shared" si="252"/>
        <v>0</v>
      </c>
      <c r="L218" s="145">
        <f t="shared" si="253"/>
        <v>6</v>
      </c>
      <c r="M218" s="145">
        <f t="shared" si="254"/>
        <v>5.5600000000000005</v>
      </c>
      <c r="N218" s="145">
        <f t="shared" si="255"/>
        <v>5.930209893896598</v>
      </c>
      <c r="O218" s="145">
        <f t="shared" si="256"/>
        <v>0</v>
      </c>
      <c r="P218" s="145">
        <f t="shared" si="257"/>
        <v>22.53267610632604</v>
      </c>
      <c r="Q218" s="147">
        <f t="shared" si="258"/>
        <v>34.02288600022264</v>
      </c>
      <c r="R218" s="147"/>
      <c r="S218" s="128">
        <f t="shared" si="259"/>
        <v>0.08237763828524766</v>
      </c>
      <c r="T218" s="128">
        <f t="shared" si="260"/>
        <v>0.47081500755661965</v>
      </c>
      <c r="U218" s="145">
        <f t="shared" si="261"/>
        <v>0</v>
      </c>
      <c r="V218" s="145">
        <f t="shared" si="262"/>
        <v>0</v>
      </c>
      <c r="W218" s="128">
        <f t="shared" si="247"/>
        <v>0</v>
      </c>
      <c r="X218" t="str">
        <f t="shared" si="244"/>
        <v>164,78</v>
      </c>
      <c r="Y218" s="151">
        <f t="shared" si="245"/>
        <v>0.08237763828524766</v>
      </c>
      <c r="Z218" s="151">
        <f t="shared" si="246"/>
        <v>0.47081500755661965</v>
      </c>
    </row>
    <row r="219" spans="1:26" ht="12.75">
      <c r="A219" s="141">
        <f>+'SMAW-SMAW'!A219</f>
        <v>202</v>
      </c>
      <c r="B219" s="142">
        <v>16</v>
      </c>
      <c r="C219" s="143">
        <f t="shared" si="248"/>
        <v>406.4</v>
      </c>
      <c r="D219" s="143">
        <v>6.35</v>
      </c>
      <c r="E219" s="144" t="s">
        <v>97</v>
      </c>
      <c r="F219" s="145">
        <f t="shared" si="249"/>
        <v>2</v>
      </c>
      <c r="G219" s="145">
        <f t="shared" si="228"/>
        <v>2</v>
      </c>
      <c r="H219" s="145">
        <f t="shared" si="250"/>
        <v>2</v>
      </c>
      <c r="I219" s="146">
        <f t="shared" si="251"/>
        <v>3.337872397708477</v>
      </c>
      <c r="J219" s="147"/>
      <c r="K219" s="145">
        <f t="shared" si="252"/>
        <v>0</v>
      </c>
      <c r="L219" s="145">
        <f t="shared" si="253"/>
        <v>6</v>
      </c>
      <c r="M219" s="145">
        <f t="shared" si="254"/>
        <v>8.7</v>
      </c>
      <c r="N219" s="145">
        <f t="shared" si="255"/>
        <v>14.519744930031875</v>
      </c>
      <c r="O219" s="145">
        <f t="shared" si="256"/>
        <v>0</v>
      </c>
      <c r="P219" s="145">
        <f t="shared" si="257"/>
        <v>27.351489590833907</v>
      </c>
      <c r="Q219" s="147">
        <f t="shared" si="258"/>
        <v>50.57123452086578</v>
      </c>
      <c r="R219" s="147"/>
      <c r="S219" s="128">
        <f t="shared" si="259"/>
        <v>0.08173232897426154</v>
      </c>
      <c r="T219" s="128">
        <f t="shared" si="260"/>
        <v>0.6984543703385159</v>
      </c>
      <c r="U219" s="145">
        <f t="shared" si="261"/>
        <v>0</v>
      </c>
      <c r="V219" s="145">
        <f t="shared" si="262"/>
        <v>0</v>
      </c>
      <c r="W219" s="128">
        <f t="shared" si="247"/>
        <v>0</v>
      </c>
      <c r="X219" t="str">
        <f t="shared" si="244"/>
        <v>166,35</v>
      </c>
      <c r="Y219" s="151">
        <f t="shared" si="245"/>
        <v>0.08173232897426154</v>
      </c>
      <c r="Z219" s="151">
        <f t="shared" si="246"/>
        <v>0.6984543703385159</v>
      </c>
    </row>
    <row r="220" spans="1:26" ht="12.75">
      <c r="A220" s="141">
        <f>+'SMAW-SMAW'!A220</f>
        <v>203</v>
      </c>
      <c r="B220" s="142">
        <v>16</v>
      </c>
      <c r="C220" s="143">
        <f t="shared" si="248"/>
        <v>406.4</v>
      </c>
      <c r="D220" s="143">
        <v>7.92</v>
      </c>
      <c r="E220" s="144" t="s">
        <v>92</v>
      </c>
      <c r="F220" s="145">
        <f t="shared" si="249"/>
        <v>2</v>
      </c>
      <c r="G220" s="145">
        <f t="shared" si="228"/>
        <v>2</v>
      </c>
      <c r="H220" s="145">
        <f t="shared" si="250"/>
        <v>2</v>
      </c>
      <c r="I220" s="146">
        <f t="shared" si="251"/>
        <v>4.542575768835445</v>
      </c>
      <c r="J220" s="147"/>
      <c r="K220" s="145">
        <f t="shared" si="252"/>
        <v>0</v>
      </c>
      <c r="L220" s="145">
        <f t="shared" si="253"/>
        <v>6</v>
      </c>
      <c r="M220" s="145">
        <f t="shared" si="254"/>
        <v>11.84</v>
      </c>
      <c r="N220" s="145">
        <f t="shared" si="255"/>
        <v>26.892048551505837</v>
      </c>
      <c r="O220" s="145">
        <f t="shared" si="256"/>
        <v>0</v>
      </c>
      <c r="P220" s="145">
        <f t="shared" si="257"/>
        <v>32.17030307534178</v>
      </c>
      <c r="Q220" s="147">
        <f t="shared" si="258"/>
        <v>70.90235162684762</v>
      </c>
      <c r="R220" s="147"/>
      <c r="S220" s="128">
        <f t="shared" si="259"/>
        <v>0.08108701966327543</v>
      </c>
      <c r="T220" s="128">
        <f t="shared" si="260"/>
        <v>0.9773470648925295</v>
      </c>
      <c r="U220" s="145">
        <f t="shared" si="261"/>
        <v>0</v>
      </c>
      <c r="V220" s="145">
        <f t="shared" si="262"/>
        <v>0</v>
      </c>
      <c r="W220" s="128">
        <f t="shared" si="247"/>
        <v>0</v>
      </c>
      <c r="X220" t="str">
        <f t="shared" si="244"/>
        <v>167,92</v>
      </c>
      <c r="Y220" s="151">
        <f t="shared" si="245"/>
        <v>0.08108701966327543</v>
      </c>
      <c r="Z220" s="151">
        <f t="shared" si="246"/>
        <v>0.9773470648925295</v>
      </c>
    </row>
    <row r="221" spans="1:26" ht="12.75">
      <c r="A221" s="141">
        <f>+'SMAW-SMAW'!A221</f>
        <v>204</v>
      </c>
      <c r="B221" s="142">
        <v>16</v>
      </c>
      <c r="C221" s="143">
        <f t="shared" si="248"/>
        <v>406.4</v>
      </c>
      <c r="D221" s="143">
        <v>9.52</v>
      </c>
      <c r="E221" s="144" t="s">
        <v>93</v>
      </c>
      <c r="F221" s="145">
        <f t="shared" si="249"/>
        <v>2</v>
      </c>
      <c r="G221" s="145">
        <f t="shared" si="228"/>
        <v>2</v>
      </c>
      <c r="H221" s="145">
        <f t="shared" si="250"/>
        <v>2</v>
      </c>
      <c r="I221" s="146">
        <f t="shared" si="251"/>
        <v>5.770298949601782</v>
      </c>
      <c r="J221" s="147"/>
      <c r="K221" s="145">
        <f t="shared" si="252"/>
        <v>0</v>
      </c>
      <c r="L221" s="145">
        <f t="shared" si="253"/>
        <v>6</v>
      </c>
      <c r="M221" s="145">
        <f t="shared" si="254"/>
        <v>15.04</v>
      </c>
      <c r="N221" s="145">
        <f t="shared" si="255"/>
        <v>43.39264810100539</v>
      </c>
      <c r="O221" s="145">
        <f t="shared" si="256"/>
        <v>0</v>
      </c>
      <c r="P221" s="145">
        <f t="shared" si="257"/>
        <v>37.08119579840712</v>
      </c>
      <c r="Q221" s="147">
        <f t="shared" si="258"/>
        <v>95.5138438994125</v>
      </c>
      <c r="R221" s="147"/>
      <c r="S221" s="128">
        <f t="shared" si="259"/>
        <v>0.08042937960112395</v>
      </c>
      <c r="T221" s="128">
        <f t="shared" si="260"/>
        <v>1.3139847194231664</v>
      </c>
      <c r="U221" s="145">
        <f t="shared" si="261"/>
        <v>0</v>
      </c>
      <c r="V221" s="145">
        <f t="shared" si="262"/>
        <v>0</v>
      </c>
      <c r="W221" s="128">
        <f t="shared" si="247"/>
        <v>0</v>
      </c>
      <c r="X221" t="str">
        <f t="shared" si="244"/>
        <v>169,52</v>
      </c>
      <c r="Y221" s="151">
        <f t="shared" si="245"/>
        <v>0.08042937960112395</v>
      </c>
      <c r="Z221" s="151">
        <f t="shared" si="246"/>
        <v>1.3139847194231664</v>
      </c>
    </row>
    <row r="222" spans="1:26" ht="12.75">
      <c r="A222" s="141">
        <f>+'SMAW-SMAW'!A222</f>
        <v>205</v>
      </c>
      <c r="B222" s="142">
        <v>16</v>
      </c>
      <c r="C222" s="143">
        <f t="shared" si="248"/>
        <v>406.4</v>
      </c>
      <c r="D222" s="143">
        <v>9.52</v>
      </c>
      <c r="E222" s="144" t="s">
        <v>86</v>
      </c>
      <c r="F222" s="145">
        <f t="shared" si="249"/>
        <v>2</v>
      </c>
      <c r="G222" s="145">
        <f t="shared" si="228"/>
        <v>2</v>
      </c>
      <c r="H222" s="145">
        <f t="shared" si="250"/>
        <v>2</v>
      </c>
      <c r="I222" s="146">
        <f t="shared" si="251"/>
        <v>5.770298949601782</v>
      </c>
      <c r="J222" s="147"/>
      <c r="K222" s="145">
        <f t="shared" si="252"/>
        <v>0</v>
      </c>
      <c r="L222" s="145">
        <f t="shared" si="253"/>
        <v>6</v>
      </c>
      <c r="M222" s="145">
        <f t="shared" si="254"/>
        <v>15.04</v>
      </c>
      <c r="N222" s="145">
        <f t="shared" si="255"/>
        <v>43.39264810100539</v>
      </c>
      <c r="O222" s="145">
        <f t="shared" si="256"/>
        <v>0</v>
      </c>
      <c r="P222" s="145">
        <f t="shared" si="257"/>
        <v>37.08119579840712</v>
      </c>
      <c r="Q222" s="147">
        <f t="shared" si="258"/>
        <v>95.5138438994125</v>
      </c>
      <c r="R222" s="147"/>
      <c r="S222" s="128">
        <f t="shared" si="259"/>
        <v>0.08042937960112395</v>
      </c>
      <c r="T222" s="128">
        <f t="shared" si="260"/>
        <v>1.3139847194231664</v>
      </c>
      <c r="U222" s="145">
        <f t="shared" si="261"/>
        <v>0</v>
      </c>
      <c r="V222" s="145">
        <f t="shared" si="262"/>
        <v>0</v>
      </c>
      <c r="W222" s="128">
        <f t="shared" si="247"/>
        <v>0</v>
      </c>
      <c r="X222" t="str">
        <f t="shared" si="244"/>
        <v>169,52</v>
      </c>
      <c r="Y222" s="151">
        <f t="shared" si="245"/>
        <v>0.08042937960112395</v>
      </c>
      <c r="Z222" s="151">
        <f t="shared" si="246"/>
        <v>1.3139847194231664</v>
      </c>
    </row>
    <row r="223" spans="1:26" ht="12.75">
      <c r="A223" s="141">
        <f>+'SMAW-SMAW'!A223</f>
        <v>206</v>
      </c>
      <c r="B223" s="142">
        <v>16</v>
      </c>
      <c r="C223" s="143">
        <f t="shared" si="248"/>
        <v>406.4</v>
      </c>
      <c r="D223" s="143">
        <v>12.7</v>
      </c>
      <c r="E223" s="144" t="s">
        <v>87</v>
      </c>
      <c r="F223" s="145">
        <f t="shared" si="249"/>
        <v>2</v>
      </c>
      <c r="G223" s="145">
        <f t="shared" si="228"/>
        <v>2</v>
      </c>
      <c r="H223" s="145">
        <f t="shared" si="250"/>
        <v>2</v>
      </c>
      <c r="I223" s="146">
        <f t="shared" si="251"/>
        <v>8.210398771374875</v>
      </c>
      <c r="J223" s="147"/>
      <c r="K223" s="145">
        <f t="shared" si="252"/>
        <v>0</v>
      </c>
      <c r="L223" s="145">
        <f t="shared" si="253"/>
        <v>6</v>
      </c>
      <c r="M223" s="145">
        <f t="shared" si="254"/>
        <v>21.4</v>
      </c>
      <c r="N223" s="145">
        <f t="shared" si="255"/>
        <v>87.85126685371115</v>
      </c>
      <c r="O223" s="145">
        <f t="shared" si="256"/>
        <v>0</v>
      </c>
      <c r="P223" s="145">
        <f t="shared" si="257"/>
        <v>46.8415950854995</v>
      </c>
      <c r="Q223" s="147">
        <f t="shared" si="258"/>
        <v>156.09286193921065</v>
      </c>
      <c r="R223" s="147"/>
      <c r="S223" s="128">
        <f t="shared" si="259"/>
        <v>0.07912231997759794</v>
      </c>
      <c r="T223" s="128">
        <f t="shared" si="260"/>
        <v>2.1388698133756385</v>
      </c>
      <c r="U223" s="145">
        <f t="shared" si="261"/>
        <v>0</v>
      </c>
      <c r="V223" s="145">
        <f t="shared" si="262"/>
        <v>0</v>
      </c>
      <c r="W223" s="128">
        <f t="shared" si="247"/>
        <v>0</v>
      </c>
      <c r="X223" t="str">
        <f t="shared" si="244"/>
        <v>1612,7</v>
      </c>
      <c r="Y223" s="151">
        <f t="shared" si="245"/>
        <v>0.07912231997759794</v>
      </c>
      <c r="Z223" s="151">
        <f t="shared" si="246"/>
        <v>2.1388698133756385</v>
      </c>
    </row>
    <row r="224" spans="1:26" ht="12.75">
      <c r="A224" s="141">
        <f>+'SMAW-SMAW'!A224</f>
        <v>207</v>
      </c>
      <c r="B224" s="142">
        <v>16</v>
      </c>
      <c r="C224" s="143">
        <f t="shared" si="248"/>
        <v>406.4</v>
      </c>
      <c r="D224" s="143">
        <v>12.7</v>
      </c>
      <c r="E224" s="144" t="s">
        <v>82</v>
      </c>
      <c r="F224" s="145">
        <f t="shared" si="249"/>
        <v>2</v>
      </c>
      <c r="G224" s="145">
        <f t="shared" si="228"/>
        <v>2</v>
      </c>
      <c r="H224" s="145">
        <f t="shared" si="250"/>
        <v>2</v>
      </c>
      <c r="I224" s="146">
        <f t="shared" si="251"/>
        <v>8.210398771374875</v>
      </c>
      <c r="J224" s="147"/>
      <c r="K224" s="145">
        <f t="shared" si="252"/>
        <v>0</v>
      </c>
      <c r="L224" s="145">
        <f t="shared" si="253"/>
        <v>6</v>
      </c>
      <c r="M224" s="145">
        <f t="shared" si="254"/>
        <v>21.4</v>
      </c>
      <c r="N224" s="145">
        <f t="shared" si="255"/>
        <v>87.85126685371115</v>
      </c>
      <c r="O224" s="145">
        <f t="shared" si="256"/>
        <v>0</v>
      </c>
      <c r="P224" s="145">
        <f t="shared" si="257"/>
        <v>46.8415950854995</v>
      </c>
      <c r="Q224" s="147">
        <f t="shared" si="258"/>
        <v>156.09286193921065</v>
      </c>
      <c r="R224" s="147"/>
      <c r="S224" s="128">
        <f t="shared" si="259"/>
        <v>0.07912231997759794</v>
      </c>
      <c r="T224" s="128">
        <f t="shared" si="260"/>
        <v>2.1388698133756385</v>
      </c>
      <c r="U224" s="145">
        <f t="shared" si="261"/>
        <v>0</v>
      </c>
      <c r="V224" s="145">
        <f t="shared" si="262"/>
        <v>0</v>
      </c>
      <c r="W224" s="128">
        <f t="shared" si="247"/>
        <v>0</v>
      </c>
      <c r="X224" t="str">
        <f t="shared" si="244"/>
        <v>1612,7</v>
      </c>
      <c r="Y224" s="151">
        <f t="shared" si="245"/>
        <v>0.07912231997759794</v>
      </c>
      <c r="Z224" s="151">
        <f t="shared" si="246"/>
        <v>2.1388698133756385</v>
      </c>
    </row>
    <row r="225" spans="1:26" ht="12.75">
      <c r="A225" s="141">
        <f>+'SMAW-SMAW'!A225</f>
        <v>208</v>
      </c>
      <c r="B225" s="142">
        <v>16</v>
      </c>
      <c r="C225" s="143">
        <f t="shared" si="248"/>
        <v>406.4</v>
      </c>
      <c r="D225" s="143">
        <v>16.64</v>
      </c>
      <c r="E225" s="144" t="s">
        <v>94</v>
      </c>
      <c r="F225" s="145">
        <f t="shared" si="249"/>
        <v>2</v>
      </c>
      <c r="G225" s="145">
        <f t="shared" si="228"/>
        <v>2</v>
      </c>
      <c r="H225" s="145">
        <f t="shared" si="250"/>
        <v>2</v>
      </c>
      <c r="I225" s="146">
        <f t="shared" si="251"/>
        <v>11.23366710401198</v>
      </c>
      <c r="J225" s="147"/>
      <c r="K225" s="145">
        <f t="shared" si="252"/>
        <v>0</v>
      </c>
      <c r="L225" s="145">
        <f t="shared" si="253"/>
        <v>6</v>
      </c>
      <c r="M225" s="145">
        <f t="shared" si="254"/>
        <v>29.28</v>
      </c>
      <c r="N225" s="145">
        <f t="shared" si="255"/>
        <v>164.46088640273538</v>
      </c>
      <c r="O225" s="145">
        <f t="shared" si="256"/>
        <v>0</v>
      </c>
      <c r="P225" s="145">
        <f t="shared" si="257"/>
        <v>58.93466841604792</v>
      </c>
      <c r="Q225" s="147">
        <f t="shared" si="258"/>
        <v>252.6755548187833</v>
      </c>
      <c r="R225" s="147"/>
      <c r="S225" s="128">
        <f t="shared" si="259"/>
        <v>0.07750288132454995</v>
      </c>
      <c r="T225" s="128">
        <f t="shared" si="260"/>
        <v>3.445249034392068</v>
      </c>
      <c r="U225" s="145">
        <f t="shared" si="261"/>
        <v>0</v>
      </c>
      <c r="V225" s="145">
        <f t="shared" si="262"/>
        <v>0</v>
      </c>
      <c r="W225" s="128">
        <f t="shared" si="247"/>
        <v>0</v>
      </c>
      <c r="X225" t="str">
        <f t="shared" si="244"/>
        <v>1616,64</v>
      </c>
      <c r="Y225" s="151">
        <f t="shared" si="245"/>
        <v>0.07750288132454995</v>
      </c>
      <c r="Z225" s="151">
        <f t="shared" si="246"/>
        <v>3.445249034392068</v>
      </c>
    </row>
    <row r="226" spans="1:26" ht="12.75">
      <c r="A226" s="141">
        <f>+'SMAW-SMAW'!A226</f>
        <v>209</v>
      </c>
      <c r="B226" s="142">
        <v>16</v>
      </c>
      <c r="C226" s="143">
        <f t="shared" si="248"/>
        <v>406.4</v>
      </c>
      <c r="D226" s="143">
        <v>21.44</v>
      </c>
      <c r="E226" s="144" t="s">
        <v>89</v>
      </c>
      <c r="F226" s="145">
        <f t="shared" si="249"/>
        <v>2</v>
      </c>
      <c r="G226" s="145">
        <f t="shared" si="228"/>
        <v>2</v>
      </c>
      <c r="H226" s="145">
        <f t="shared" si="250"/>
        <v>3</v>
      </c>
      <c r="I226" s="146">
        <f t="shared" si="251"/>
        <v>13.044558795642326</v>
      </c>
      <c r="J226" s="147"/>
      <c r="K226" s="145">
        <f t="shared" si="252"/>
        <v>0.43023783292865475</v>
      </c>
      <c r="L226" s="145">
        <f t="shared" si="253"/>
        <v>6</v>
      </c>
      <c r="M226" s="145">
        <f t="shared" si="254"/>
        <v>38.88</v>
      </c>
      <c r="N226" s="145">
        <f t="shared" si="255"/>
        <v>221.75749952591954</v>
      </c>
      <c r="O226" s="145">
        <f t="shared" si="256"/>
        <v>64.70722723508051</v>
      </c>
      <c r="P226" s="145">
        <f t="shared" si="257"/>
        <v>101.84877977142587</v>
      </c>
      <c r="Q226" s="147">
        <f t="shared" si="258"/>
        <v>427.19350653242594</v>
      </c>
      <c r="R226" s="147"/>
      <c r="S226" s="128">
        <f t="shared" si="259"/>
        <v>0.07552996113809556</v>
      </c>
      <c r="T226" s="128">
        <f t="shared" si="260"/>
        <v>5.789696185280623</v>
      </c>
      <c r="U226" s="145">
        <f t="shared" si="261"/>
        <v>0</v>
      </c>
      <c r="V226" s="145">
        <f t="shared" si="262"/>
        <v>0</v>
      </c>
      <c r="W226" s="128">
        <f t="shared" si="247"/>
        <v>0</v>
      </c>
      <c r="X226" t="str">
        <f t="shared" si="244"/>
        <v>1621,44</v>
      </c>
      <c r="Y226" s="151">
        <f t="shared" si="245"/>
        <v>0.07552996113809556</v>
      </c>
      <c r="Z226" s="151">
        <f t="shared" si="246"/>
        <v>5.789696185280623</v>
      </c>
    </row>
    <row r="227" spans="1:26" ht="12.75">
      <c r="A227" s="141">
        <f>+'SMAW-SMAW'!A227</f>
        <v>210</v>
      </c>
      <c r="B227" s="142">
        <v>16</v>
      </c>
      <c r="C227" s="143">
        <f t="shared" si="248"/>
        <v>406.4</v>
      </c>
      <c r="D227" s="143">
        <v>26.19</v>
      </c>
      <c r="E227" s="144" t="s">
        <v>95</v>
      </c>
      <c r="F227" s="145">
        <f t="shared" si="249"/>
        <v>2</v>
      </c>
      <c r="G227" s="145">
        <f t="shared" si="228"/>
        <v>2</v>
      </c>
      <c r="H227" s="145">
        <f t="shared" si="250"/>
        <v>3</v>
      </c>
      <c r="I227" s="146">
        <f t="shared" si="251"/>
        <v>13.044558795642326</v>
      </c>
      <c r="J227" s="147"/>
      <c r="K227" s="145">
        <f t="shared" si="252"/>
        <v>1.2677909912938634</v>
      </c>
      <c r="L227" s="145">
        <f t="shared" si="253"/>
        <v>6</v>
      </c>
      <c r="M227" s="145">
        <f t="shared" si="254"/>
        <v>48.38</v>
      </c>
      <c r="N227" s="145">
        <f t="shared" si="255"/>
        <v>221.75749952591954</v>
      </c>
      <c r="O227" s="145">
        <f t="shared" si="256"/>
        <v>196.69617270873954</v>
      </c>
      <c r="P227" s="145">
        <f t="shared" si="257"/>
        <v>106.87409872161713</v>
      </c>
      <c r="Q227" s="147">
        <f t="shared" si="258"/>
        <v>573.7077709562762</v>
      </c>
      <c r="R227" s="147"/>
      <c r="S227" s="128">
        <f t="shared" si="259"/>
        <v>0.0735775922035834</v>
      </c>
      <c r="T227" s="128">
        <f t="shared" si="260"/>
        <v>7.728713937013604</v>
      </c>
      <c r="U227" s="145">
        <f t="shared" si="261"/>
        <v>0</v>
      </c>
      <c r="V227" s="145">
        <f t="shared" si="262"/>
        <v>0</v>
      </c>
      <c r="W227" s="128">
        <f t="shared" si="247"/>
        <v>0</v>
      </c>
      <c r="X227" t="str">
        <f t="shared" si="244"/>
        <v>1626,19</v>
      </c>
      <c r="Y227" s="151">
        <f t="shared" si="245"/>
        <v>0.0735775922035834</v>
      </c>
      <c r="Z227" s="151">
        <f t="shared" si="246"/>
        <v>7.728713937013604</v>
      </c>
    </row>
    <row r="228" spans="1:26" ht="12.75">
      <c r="A228" s="141">
        <f>+'SMAW-SMAW'!A228</f>
        <v>211</v>
      </c>
      <c r="B228" s="142">
        <v>16</v>
      </c>
      <c r="C228" s="143">
        <f t="shared" si="248"/>
        <v>406.4</v>
      </c>
      <c r="D228" s="143">
        <v>30.96</v>
      </c>
      <c r="E228" s="144" t="s">
        <v>91</v>
      </c>
      <c r="F228" s="145">
        <f t="shared" si="249"/>
        <v>2</v>
      </c>
      <c r="G228" s="145">
        <f t="shared" si="228"/>
        <v>2</v>
      </c>
      <c r="H228" s="145">
        <f t="shared" si="250"/>
        <v>3</v>
      </c>
      <c r="I228" s="146">
        <f t="shared" si="251"/>
        <v>13.044558795642326</v>
      </c>
      <c r="J228" s="147"/>
      <c r="K228" s="145">
        <f t="shared" si="252"/>
        <v>2.108870689273241</v>
      </c>
      <c r="L228" s="145">
        <f t="shared" si="253"/>
        <v>6</v>
      </c>
      <c r="M228" s="145">
        <f t="shared" si="254"/>
        <v>57.92</v>
      </c>
      <c r="N228" s="145">
        <f t="shared" si="255"/>
        <v>221.75749952591954</v>
      </c>
      <c r="O228" s="145">
        <f t="shared" si="256"/>
        <v>337.24793983547244</v>
      </c>
      <c r="P228" s="145">
        <f t="shared" si="257"/>
        <v>111.9205769094934</v>
      </c>
      <c r="Q228" s="147">
        <f t="shared" si="258"/>
        <v>728.8460162708853</v>
      </c>
      <c r="R228" s="147"/>
      <c r="S228" s="128">
        <f t="shared" si="259"/>
        <v>0.07161700276829434</v>
      </c>
      <c r="T228" s="128">
        <f t="shared" si="260"/>
        <v>9.75912110695752</v>
      </c>
      <c r="U228" s="145">
        <f t="shared" si="261"/>
        <v>0</v>
      </c>
      <c r="V228" s="145">
        <f t="shared" si="262"/>
        <v>0</v>
      </c>
      <c r="W228" s="128">
        <f t="shared" si="247"/>
        <v>0</v>
      </c>
      <c r="X228" t="str">
        <f t="shared" si="244"/>
        <v>1630,96</v>
      </c>
      <c r="Y228" s="151">
        <f t="shared" si="245"/>
        <v>0.07161700276829434</v>
      </c>
      <c r="Z228" s="151">
        <f t="shared" si="246"/>
        <v>9.75912110695752</v>
      </c>
    </row>
    <row r="229" spans="1:26" ht="12.75">
      <c r="A229" s="141">
        <f>+'SMAW-SMAW'!A229</f>
        <v>212</v>
      </c>
      <c r="B229" s="142">
        <v>16</v>
      </c>
      <c r="C229" s="143">
        <f t="shared" si="248"/>
        <v>406.4</v>
      </c>
      <c r="D229" s="143">
        <v>36.52</v>
      </c>
      <c r="E229" s="144" t="s">
        <v>96</v>
      </c>
      <c r="F229" s="145">
        <f t="shared" si="249"/>
        <v>2</v>
      </c>
      <c r="G229" s="145">
        <f t="shared" si="228"/>
        <v>2</v>
      </c>
      <c r="H229" s="145">
        <f t="shared" si="250"/>
        <v>3</v>
      </c>
      <c r="I229" s="146">
        <f t="shared" si="251"/>
        <v>13.044558795642326</v>
      </c>
      <c r="J229" s="147"/>
      <c r="K229" s="145">
        <f t="shared" si="252"/>
        <v>3.089248702012307</v>
      </c>
      <c r="L229" s="145">
        <f t="shared" si="253"/>
        <v>6</v>
      </c>
      <c r="M229" s="145">
        <f t="shared" si="254"/>
        <v>69.04</v>
      </c>
      <c r="N229" s="145">
        <f t="shared" si="255"/>
        <v>221.75749952591954</v>
      </c>
      <c r="O229" s="145">
        <f t="shared" si="256"/>
        <v>511.20497745856284</v>
      </c>
      <c r="P229" s="145">
        <f t="shared" si="257"/>
        <v>117.8028449859278</v>
      </c>
      <c r="Q229" s="147">
        <f t="shared" si="258"/>
        <v>919.8053219704102</v>
      </c>
      <c r="R229" s="147"/>
      <c r="S229" s="128">
        <f t="shared" si="259"/>
        <v>0.06933170355231803</v>
      </c>
      <c r="T229" s="128">
        <f t="shared" si="260"/>
        <v>12.22844832343373</v>
      </c>
      <c r="U229" s="145">
        <f t="shared" si="261"/>
        <v>0</v>
      </c>
      <c r="V229" s="145">
        <f t="shared" si="262"/>
        <v>0</v>
      </c>
      <c r="W229" s="128">
        <f t="shared" si="247"/>
        <v>0</v>
      </c>
      <c r="X229" t="str">
        <f t="shared" si="244"/>
        <v>1636,52</v>
      </c>
      <c r="Y229" s="151">
        <f t="shared" si="245"/>
        <v>0.06933170355231803</v>
      </c>
      <c r="Z229" s="151">
        <f t="shared" si="246"/>
        <v>12.22844832343373</v>
      </c>
    </row>
    <row r="230" spans="1:26" ht="12.75">
      <c r="A230" s="141">
        <f>+'SMAW-SMAW'!A230</f>
        <v>213</v>
      </c>
      <c r="B230" s="142">
        <v>16</v>
      </c>
      <c r="C230" s="143">
        <f t="shared" si="248"/>
        <v>406.4</v>
      </c>
      <c r="D230" s="143">
        <v>40.49</v>
      </c>
      <c r="E230" s="144" t="s">
        <v>90</v>
      </c>
      <c r="F230" s="145">
        <f t="shared" si="249"/>
        <v>2</v>
      </c>
      <c r="G230" s="145">
        <f t="shared" si="228"/>
        <v>2</v>
      </c>
      <c r="H230" s="145">
        <f t="shared" si="250"/>
        <v>3</v>
      </c>
      <c r="I230" s="146">
        <f t="shared" si="251"/>
        <v>13.044558795642326</v>
      </c>
      <c r="J230" s="147"/>
      <c r="K230" s="145">
        <f t="shared" si="252"/>
        <v>3.7892668154249125</v>
      </c>
      <c r="L230" s="145">
        <f t="shared" si="253"/>
        <v>6</v>
      </c>
      <c r="M230" s="145">
        <f t="shared" si="254"/>
        <v>76.98</v>
      </c>
      <c r="N230" s="145">
        <f t="shared" si="255"/>
        <v>221.75749952591954</v>
      </c>
      <c r="O230" s="145">
        <f t="shared" si="256"/>
        <v>642.0864809001886</v>
      </c>
      <c r="P230" s="145">
        <f t="shared" si="257"/>
        <v>122.00295366640341</v>
      </c>
      <c r="Q230" s="147">
        <f t="shared" si="258"/>
        <v>1062.8269340925117</v>
      </c>
      <c r="R230" s="147"/>
      <c r="S230" s="128">
        <f t="shared" si="259"/>
        <v>0.06769993414810468</v>
      </c>
      <c r="T230" s="128">
        <f t="shared" si="260"/>
        <v>14.057602126392887</v>
      </c>
      <c r="U230" s="145">
        <f t="shared" si="261"/>
        <v>0</v>
      </c>
      <c r="V230" s="145">
        <f t="shared" si="262"/>
        <v>0</v>
      </c>
      <c r="W230" s="128">
        <f t="shared" si="247"/>
        <v>0</v>
      </c>
      <c r="X230" t="str">
        <f t="shared" si="244"/>
        <v>1640,49</v>
      </c>
      <c r="Y230" s="151">
        <f t="shared" si="245"/>
        <v>0.06769993414810468</v>
      </c>
      <c r="Z230" s="151">
        <f t="shared" si="246"/>
        <v>14.057602126392887</v>
      </c>
    </row>
    <row r="231" spans="1:26" ht="12.75">
      <c r="A231" s="141">
        <f>+'SMAW-SMAW'!A231</f>
        <v>214</v>
      </c>
      <c r="B231" s="142"/>
      <c r="C231" s="143"/>
      <c r="D231" s="143"/>
      <c r="E231" s="144"/>
      <c r="F231" s="145"/>
      <c r="G231" s="145"/>
      <c r="H231" s="145"/>
      <c r="I231" s="146"/>
      <c r="J231" s="147"/>
      <c r="K231" s="145"/>
      <c r="L231" s="145"/>
      <c r="M231" s="145"/>
      <c r="N231" s="145"/>
      <c r="O231" s="145"/>
      <c r="P231" s="145"/>
      <c r="Q231" s="147"/>
      <c r="R231" s="147"/>
      <c r="S231" s="128"/>
      <c r="T231" s="128"/>
      <c r="U231" s="145"/>
      <c r="V231" s="145"/>
      <c r="W231" s="128">
        <f t="shared" si="247"/>
        <v>0</v>
      </c>
      <c r="X231">
        <f t="shared" si="244"/>
      </c>
      <c r="Y231" s="151">
        <f t="shared" si="245"/>
        <v>0</v>
      </c>
      <c r="Z231" s="151">
        <f t="shared" si="246"/>
        <v>0</v>
      </c>
    </row>
    <row r="232" spans="1:26" ht="12.75">
      <c r="A232" s="141">
        <f>+'SMAW-SMAW'!A232</f>
        <v>215</v>
      </c>
      <c r="B232" s="142">
        <v>18</v>
      </c>
      <c r="C232" s="143">
        <f aca="true" t="shared" si="263" ref="C232:C245">25.4*B232</f>
        <v>457.2</v>
      </c>
      <c r="D232" s="143">
        <v>4.19</v>
      </c>
      <c r="E232" s="144" t="s">
        <v>81</v>
      </c>
      <c r="F232" s="145">
        <f aca="true" t="shared" si="264" ref="F232:F245">IF($D$6=1,2,3)</f>
        <v>2</v>
      </c>
      <c r="G232" s="145">
        <f aca="true" t="shared" si="265" ref="G232:G263">IF(D232&lt;2,D232,2)</f>
        <v>2</v>
      </c>
      <c r="H232" s="145">
        <f aca="true" t="shared" si="266" ref="H232:H245">IF(D232&lt;=19,2,3)</f>
        <v>2</v>
      </c>
      <c r="I232" s="146">
        <f aca="true" t="shared" si="267" ref="I232:I245">IF(D232&lt;=19,(D232-G232)*TAN($C$8*PI()/180),(19-G232)*TAN($C$8*PI()/180))</f>
        <v>1.6804461036739236</v>
      </c>
      <c r="J232" s="147"/>
      <c r="K232" s="145">
        <f aca="true" t="shared" si="268" ref="K232:K245">IF(D232&lt;=19,0,(D232-19)*TAN($C$10*PI()/180))</f>
        <v>0</v>
      </c>
      <c r="L232" s="145">
        <f aca="true" t="shared" si="269" ref="L232:L245">+F232*(G232*1.5)</f>
        <v>6</v>
      </c>
      <c r="M232" s="145">
        <f aca="true" t="shared" si="270" ref="M232:M245">+F232*(D232-G232)</f>
        <v>4.380000000000001</v>
      </c>
      <c r="N232" s="145">
        <f aca="true" t="shared" si="271" ref="N232:N245">IF(D232&lt;=19,(D232-G232)*I232,(19-G232)*I232)</f>
        <v>3.680176967045893</v>
      </c>
      <c r="O232" s="145">
        <f aca="true" t="shared" si="272" ref="O232:O245">IF(D232&lt;=19,0,(I232*(D232-19)*2)+((K232)*(D232-19)))</f>
        <v>0</v>
      </c>
      <c r="P232" s="145">
        <f aca="true" t="shared" si="273" ref="P232:P245">+(5+F232+(2*(I232+K232)))*H232</f>
        <v>20.721784414695694</v>
      </c>
      <c r="Q232" s="147">
        <f aca="true" t="shared" si="274" ref="Q232:Q245">SUM(M232:P232)</f>
        <v>28.78196138174159</v>
      </c>
      <c r="R232" s="147"/>
      <c r="S232" s="128">
        <f aca="true" t="shared" si="275" ref="S232:S245">IF(D$6=1,(PI()*(C232-(2*D232)+(2*G232))*L232*0.1*0.01*7.85*0.001/(S$16*S$17)),0)</f>
        <v>0.09306017904482049</v>
      </c>
      <c r="T232" s="128">
        <f aca="true" t="shared" si="276" ref="T232:T245">IF(D$6=1,(PI()*(C232-(0.5*D232))*(Q232)*0.1*0.01*7.85*0.001/(T$16*T$17)),0)</f>
        <v>0.4486617294098698</v>
      </c>
      <c r="U232" s="145">
        <f aca="true" t="shared" si="277" ref="U232:U245">IF(D$6=1,0,(PI()*(C232-(2*D232)+(2*G232))*L232*0.1*0.01*7.85*0.001/(U$16*U$17)))</f>
        <v>0</v>
      </c>
      <c r="V232" s="145">
        <f aca="true" t="shared" si="278" ref="V232:V245">IF(D$6=1,0,(PI()*(C232-(0.5*D232))*(Q232)*0.1*0.01*7.85*0.001/(V$16*V$17)))</f>
        <v>0</v>
      </c>
      <c r="W232" s="128">
        <f t="shared" si="247"/>
        <v>0</v>
      </c>
      <c r="X232" t="str">
        <f t="shared" si="244"/>
        <v>184,19</v>
      </c>
      <c r="Y232" s="151">
        <f t="shared" si="245"/>
        <v>0.09306017904482049</v>
      </c>
      <c r="Z232" s="151">
        <f t="shared" si="246"/>
        <v>0.4486617294098698</v>
      </c>
    </row>
    <row r="233" spans="1:26" ht="12.75">
      <c r="A233" s="141">
        <f>+'SMAW-SMAW'!A233</f>
        <v>216</v>
      </c>
      <c r="B233" s="142">
        <v>18</v>
      </c>
      <c r="C233" s="143">
        <f t="shared" si="263"/>
        <v>457.2</v>
      </c>
      <c r="D233" s="143">
        <v>4.78</v>
      </c>
      <c r="E233" s="144" t="s">
        <v>84</v>
      </c>
      <c r="F233" s="145">
        <f t="shared" si="264"/>
        <v>2</v>
      </c>
      <c r="G233" s="145">
        <f t="shared" si="265"/>
        <v>2</v>
      </c>
      <c r="H233" s="145">
        <f t="shared" si="266"/>
        <v>2</v>
      </c>
      <c r="I233" s="146">
        <f t="shared" si="267"/>
        <v>2.13316902658151</v>
      </c>
      <c r="J233" s="147"/>
      <c r="K233" s="145">
        <f t="shared" si="268"/>
        <v>0</v>
      </c>
      <c r="L233" s="145">
        <f t="shared" si="269"/>
        <v>6</v>
      </c>
      <c r="M233" s="145">
        <f t="shared" si="270"/>
        <v>5.5600000000000005</v>
      </c>
      <c r="N233" s="145">
        <f t="shared" si="271"/>
        <v>5.930209893896598</v>
      </c>
      <c r="O233" s="145">
        <f t="shared" si="272"/>
        <v>0</v>
      </c>
      <c r="P233" s="145">
        <f t="shared" si="273"/>
        <v>22.53267610632604</v>
      </c>
      <c r="Q233" s="147">
        <f t="shared" si="274"/>
        <v>34.02288600022264</v>
      </c>
      <c r="R233" s="147"/>
      <c r="S233" s="128">
        <f t="shared" si="275"/>
        <v>0.09281767427190214</v>
      </c>
      <c r="T233" s="128">
        <f t="shared" si="276"/>
        <v>0.5300150332586476</v>
      </c>
      <c r="U233" s="145">
        <f t="shared" si="277"/>
        <v>0</v>
      </c>
      <c r="V233" s="145">
        <f t="shared" si="278"/>
        <v>0</v>
      </c>
      <c r="W233" s="128">
        <f t="shared" si="247"/>
        <v>0</v>
      </c>
      <c r="X233" t="str">
        <f t="shared" si="244"/>
        <v>184,78</v>
      </c>
      <c r="Y233" s="151">
        <f t="shared" si="245"/>
        <v>0.09281767427190214</v>
      </c>
      <c r="Z233" s="151">
        <f t="shared" si="246"/>
        <v>0.5300150332586476</v>
      </c>
    </row>
    <row r="234" spans="1:26" ht="12.75">
      <c r="A234" s="141">
        <f>+'SMAW-SMAW'!A234</f>
        <v>217</v>
      </c>
      <c r="B234" s="142">
        <v>18</v>
      </c>
      <c r="C234" s="143">
        <f t="shared" si="263"/>
        <v>457.2</v>
      </c>
      <c r="D234" s="143">
        <v>6.35</v>
      </c>
      <c r="E234" s="144" t="s">
        <v>97</v>
      </c>
      <c r="F234" s="145">
        <f t="shared" si="264"/>
        <v>2</v>
      </c>
      <c r="G234" s="145">
        <f t="shared" si="265"/>
        <v>2</v>
      </c>
      <c r="H234" s="145">
        <f t="shared" si="266"/>
        <v>2</v>
      </c>
      <c r="I234" s="146">
        <f t="shared" si="267"/>
        <v>3.337872397708477</v>
      </c>
      <c r="J234" s="147"/>
      <c r="K234" s="145">
        <f t="shared" si="268"/>
        <v>0</v>
      </c>
      <c r="L234" s="145">
        <f t="shared" si="269"/>
        <v>6</v>
      </c>
      <c r="M234" s="145">
        <f t="shared" si="270"/>
        <v>8.7</v>
      </c>
      <c r="N234" s="145">
        <f t="shared" si="271"/>
        <v>14.519744930031875</v>
      </c>
      <c r="O234" s="145">
        <f t="shared" si="272"/>
        <v>0</v>
      </c>
      <c r="P234" s="145">
        <f t="shared" si="273"/>
        <v>27.351489590833907</v>
      </c>
      <c r="Q234" s="147">
        <f t="shared" si="274"/>
        <v>50.57123452086578</v>
      </c>
      <c r="R234" s="147"/>
      <c r="S234" s="128">
        <f t="shared" si="275"/>
        <v>0.09217236496091603</v>
      </c>
      <c r="T234" s="128">
        <f t="shared" si="276"/>
        <v>0.786448621719746</v>
      </c>
      <c r="U234" s="145">
        <f t="shared" si="277"/>
        <v>0</v>
      </c>
      <c r="V234" s="145">
        <f t="shared" si="278"/>
        <v>0</v>
      </c>
      <c r="W234" s="128">
        <f t="shared" si="247"/>
        <v>0</v>
      </c>
      <c r="X234" t="str">
        <f t="shared" si="244"/>
        <v>186,35</v>
      </c>
      <c r="Y234" s="151">
        <f t="shared" si="245"/>
        <v>0.09217236496091603</v>
      </c>
      <c r="Z234" s="151">
        <f t="shared" si="246"/>
        <v>0.786448621719746</v>
      </c>
    </row>
    <row r="235" spans="1:26" ht="12.75">
      <c r="A235" s="141">
        <f>+'SMAW-SMAW'!A235</f>
        <v>218</v>
      </c>
      <c r="B235" s="142">
        <v>18</v>
      </c>
      <c r="C235" s="143">
        <f t="shared" si="263"/>
        <v>457.2</v>
      </c>
      <c r="D235" s="143">
        <v>7.92</v>
      </c>
      <c r="E235" s="144" t="s">
        <v>92</v>
      </c>
      <c r="F235" s="145">
        <f t="shared" si="264"/>
        <v>2</v>
      </c>
      <c r="G235" s="145">
        <f t="shared" si="265"/>
        <v>2</v>
      </c>
      <c r="H235" s="145">
        <f t="shared" si="266"/>
        <v>2</v>
      </c>
      <c r="I235" s="146">
        <f t="shared" si="267"/>
        <v>4.542575768835445</v>
      </c>
      <c r="J235" s="147"/>
      <c r="K235" s="145">
        <f t="shared" si="268"/>
        <v>0</v>
      </c>
      <c r="L235" s="145">
        <f t="shared" si="269"/>
        <v>6</v>
      </c>
      <c r="M235" s="145">
        <f t="shared" si="270"/>
        <v>11.84</v>
      </c>
      <c r="N235" s="145">
        <f t="shared" si="271"/>
        <v>26.892048551505837</v>
      </c>
      <c r="O235" s="145">
        <f t="shared" si="272"/>
        <v>0</v>
      </c>
      <c r="P235" s="145">
        <f t="shared" si="273"/>
        <v>32.17030307534178</v>
      </c>
      <c r="Q235" s="147">
        <f t="shared" si="274"/>
        <v>70.90235162684762</v>
      </c>
      <c r="R235" s="147"/>
      <c r="S235" s="128">
        <f t="shared" si="275"/>
        <v>0.09152705564992994</v>
      </c>
      <c r="T235" s="128">
        <f t="shared" si="276"/>
        <v>1.1007175819796493</v>
      </c>
      <c r="U235" s="145">
        <f t="shared" si="277"/>
        <v>0</v>
      </c>
      <c r="V235" s="145">
        <f t="shared" si="278"/>
        <v>0</v>
      </c>
      <c r="W235" s="128">
        <f t="shared" si="247"/>
        <v>0</v>
      </c>
      <c r="X235" t="str">
        <f t="shared" si="244"/>
        <v>187,92</v>
      </c>
      <c r="Y235" s="151">
        <f t="shared" si="245"/>
        <v>0.09152705564992994</v>
      </c>
      <c r="Z235" s="151">
        <f t="shared" si="246"/>
        <v>1.1007175819796493</v>
      </c>
    </row>
    <row r="236" spans="1:26" ht="12.75">
      <c r="A236" s="141">
        <f>+'SMAW-SMAW'!A236</f>
        <v>219</v>
      </c>
      <c r="B236" s="142">
        <v>18</v>
      </c>
      <c r="C236" s="143">
        <f t="shared" si="263"/>
        <v>457.2</v>
      </c>
      <c r="D236" s="143">
        <v>9.521</v>
      </c>
      <c r="E236" s="144" t="s">
        <v>86</v>
      </c>
      <c r="F236" s="145">
        <f t="shared" si="264"/>
        <v>2</v>
      </c>
      <c r="G236" s="145">
        <f t="shared" si="265"/>
        <v>2</v>
      </c>
      <c r="H236" s="145">
        <f t="shared" si="266"/>
        <v>2</v>
      </c>
      <c r="I236" s="146">
        <f t="shared" si="267"/>
        <v>5.771066276589762</v>
      </c>
      <c r="J236" s="147"/>
      <c r="K236" s="145">
        <f t="shared" si="268"/>
        <v>0</v>
      </c>
      <c r="L236" s="145">
        <f t="shared" si="269"/>
        <v>6</v>
      </c>
      <c r="M236" s="145">
        <f t="shared" si="270"/>
        <v>15.042000000000002</v>
      </c>
      <c r="N236" s="145">
        <f t="shared" si="271"/>
        <v>43.40418946623161</v>
      </c>
      <c r="O236" s="145">
        <f t="shared" si="272"/>
        <v>0</v>
      </c>
      <c r="P236" s="145">
        <f t="shared" si="273"/>
        <v>37.08426510635905</v>
      </c>
      <c r="Q236" s="147">
        <f t="shared" si="274"/>
        <v>95.53045457259066</v>
      </c>
      <c r="R236" s="147"/>
      <c r="S236" s="128">
        <f t="shared" si="275"/>
        <v>0.09086900456273961</v>
      </c>
      <c r="T236" s="128">
        <f t="shared" si="276"/>
        <v>1.4804351604556472</v>
      </c>
      <c r="U236" s="145">
        <f t="shared" si="277"/>
        <v>0</v>
      </c>
      <c r="V236" s="145">
        <f t="shared" si="278"/>
        <v>0</v>
      </c>
      <c r="W236" s="128">
        <f t="shared" si="247"/>
        <v>0</v>
      </c>
      <c r="X236" t="str">
        <f t="shared" si="244"/>
        <v>189,521</v>
      </c>
      <c r="Y236" s="151">
        <f t="shared" si="245"/>
        <v>0.09086900456273961</v>
      </c>
      <c r="Z236" s="151">
        <f t="shared" si="246"/>
        <v>1.4804351604556472</v>
      </c>
    </row>
    <row r="237" spans="1:26" ht="12.75">
      <c r="A237" s="141">
        <f>+'SMAW-SMAW'!A237</f>
        <v>220</v>
      </c>
      <c r="B237" s="142">
        <v>18</v>
      </c>
      <c r="C237" s="143">
        <f t="shared" si="263"/>
        <v>457.2</v>
      </c>
      <c r="D237" s="143">
        <v>11.13</v>
      </c>
      <c r="E237" s="144" t="s">
        <v>93</v>
      </c>
      <c r="F237" s="145">
        <f t="shared" si="264"/>
        <v>2</v>
      </c>
      <c r="G237" s="145">
        <f t="shared" si="265"/>
        <v>2</v>
      </c>
      <c r="H237" s="145">
        <f t="shared" si="266"/>
        <v>2</v>
      </c>
      <c r="I237" s="146">
        <f t="shared" si="267"/>
        <v>7.005695400247909</v>
      </c>
      <c r="J237" s="147"/>
      <c r="K237" s="145">
        <f t="shared" si="268"/>
        <v>0</v>
      </c>
      <c r="L237" s="145">
        <f t="shared" si="269"/>
        <v>6</v>
      </c>
      <c r="M237" s="145">
        <f t="shared" si="270"/>
        <v>18.26</v>
      </c>
      <c r="N237" s="145">
        <f t="shared" si="271"/>
        <v>63.96199900426341</v>
      </c>
      <c r="O237" s="145">
        <f t="shared" si="272"/>
        <v>0</v>
      </c>
      <c r="P237" s="145">
        <f t="shared" si="273"/>
        <v>42.022781600991635</v>
      </c>
      <c r="Q237" s="147">
        <f t="shared" si="274"/>
        <v>124.24478060525504</v>
      </c>
      <c r="R237" s="147"/>
      <c r="S237" s="128">
        <f t="shared" si="275"/>
        <v>0.09020766527523852</v>
      </c>
      <c r="T237" s="128">
        <f t="shared" si="276"/>
        <v>1.9219973178188454</v>
      </c>
      <c r="U237" s="145">
        <f t="shared" si="277"/>
        <v>0</v>
      </c>
      <c r="V237" s="145">
        <f t="shared" si="278"/>
        <v>0</v>
      </c>
      <c r="W237" s="128">
        <f t="shared" si="247"/>
        <v>0</v>
      </c>
      <c r="X237" t="str">
        <f t="shared" si="244"/>
        <v>1811,13</v>
      </c>
      <c r="Y237" s="151">
        <f t="shared" si="245"/>
        <v>0.09020766527523852</v>
      </c>
      <c r="Z237" s="151">
        <f t="shared" si="246"/>
        <v>1.9219973178188454</v>
      </c>
    </row>
    <row r="238" spans="1:26" ht="12.75">
      <c r="A238" s="141">
        <f>+'SMAW-SMAW'!A238</f>
        <v>221</v>
      </c>
      <c r="B238" s="142">
        <v>18</v>
      </c>
      <c r="C238" s="143">
        <f t="shared" si="263"/>
        <v>457.2</v>
      </c>
      <c r="D238" s="143">
        <v>12.7</v>
      </c>
      <c r="E238" s="144" t="s">
        <v>82</v>
      </c>
      <c r="F238" s="145">
        <f t="shared" si="264"/>
        <v>2</v>
      </c>
      <c r="G238" s="145">
        <f t="shared" si="265"/>
        <v>2</v>
      </c>
      <c r="H238" s="145">
        <f t="shared" si="266"/>
        <v>2</v>
      </c>
      <c r="I238" s="146">
        <f t="shared" si="267"/>
        <v>8.210398771374875</v>
      </c>
      <c r="J238" s="147"/>
      <c r="K238" s="145">
        <f t="shared" si="268"/>
        <v>0</v>
      </c>
      <c r="L238" s="145">
        <f t="shared" si="269"/>
        <v>6</v>
      </c>
      <c r="M238" s="145">
        <f t="shared" si="270"/>
        <v>21.4</v>
      </c>
      <c r="N238" s="145">
        <f t="shared" si="271"/>
        <v>87.85126685371115</v>
      </c>
      <c r="O238" s="145">
        <f t="shared" si="272"/>
        <v>0</v>
      </c>
      <c r="P238" s="145">
        <f t="shared" si="273"/>
        <v>46.8415950854995</v>
      </c>
      <c r="Q238" s="147">
        <f t="shared" si="274"/>
        <v>156.09286193921065</v>
      </c>
      <c r="R238" s="147"/>
      <c r="S238" s="128">
        <f t="shared" si="275"/>
        <v>0.08956235596425238</v>
      </c>
      <c r="T238" s="128">
        <f t="shared" si="276"/>
        <v>2.410472329359847</v>
      </c>
      <c r="U238" s="145">
        <f t="shared" si="277"/>
        <v>0</v>
      </c>
      <c r="V238" s="145">
        <f t="shared" si="278"/>
        <v>0</v>
      </c>
      <c r="W238" s="128">
        <f t="shared" si="247"/>
        <v>0</v>
      </c>
      <c r="X238" t="str">
        <f t="shared" si="244"/>
        <v>1812,7</v>
      </c>
      <c r="Y238" s="151">
        <f t="shared" si="245"/>
        <v>0.08956235596425238</v>
      </c>
      <c r="Z238" s="151">
        <f t="shared" si="246"/>
        <v>2.410472329359847</v>
      </c>
    </row>
    <row r="239" spans="1:26" ht="12.75">
      <c r="A239" s="141">
        <f>+'SMAW-SMAW'!A239</f>
        <v>222</v>
      </c>
      <c r="B239" s="142">
        <v>18</v>
      </c>
      <c r="C239" s="143">
        <f t="shared" si="263"/>
        <v>457.2</v>
      </c>
      <c r="D239" s="143">
        <v>14.27</v>
      </c>
      <c r="E239" s="144" t="s">
        <v>87</v>
      </c>
      <c r="F239" s="145">
        <f t="shared" si="264"/>
        <v>2</v>
      </c>
      <c r="G239" s="145">
        <f t="shared" si="265"/>
        <v>2</v>
      </c>
      <c r="H239" s="145">
        <f t="shared" si="266"/>
        <v>2</v>
      </c>
      <c r="I239" s="146">
        <f t="shared" si="267"/>
        <v>9.415102142501844</v>
      </c>
      <c r="J239" s="147"/>
      <c r="K239" s="145">
        <f t="shared" si="268"/>
        <v>0</v>
      </c>
      <c r="L239" s="145">
        <f t="shared" si="269"/>
        <v>6</v>
      </c>
      <c r="M239" s="145">
        <f t="shared" si="270"/>
        <v>24.54</v>
      </c>
      <c r="N239" s="145">
        <f t="shared" si="271"/>
        <v>115.52330328849763</v>
      </c>
      <c r="O239" s="145">
        <f t="shared" si="272"/>
        <v>0</v>
      </c>
      <c r="P239" s="145">
        <f t="shared" si="273"/>
        <v>51.66040857000738</v>
      </c>
      <c r="Q239" s="147">
        <f t="shared" si="274"/>
        <v>191.723711858505</v>
      </c>
      <c r="R239" s="147"/>
      <c r="S239" s="128">
        <f t="shared" si="275"/>
        <v>0.08891704665326627</v>
      </c>
      <c r="T239" s="128">
        <f t="shared" si="276"/>
        <v>2.95554858019465</v>
      </c>
      <c r="U239" s="145">
        <f t="shared" si="277"/>
        <v>0</v>
      </c>
      <c r="V239" s="145">
        <f t="shared" si="278"/>
        <v>0</v>
      </c>
      <c r="W239" s="128">
        <f t="shared" si="247"/>
        <v>0</v>
      </c>
      <c r="X239" t="str">
        <f t="shared" si="244"/>
        <v>1814,27</v>
      </c>
      <c r="Y239" s="151">
        <f t="shared" si="245"/>
        <v>0.08891704665326627</v>
      </c>
      <c r="Z239" s="151">
        <f t="shared" si="246"/>
        <v>2.95554858019465</v>
      </c>
    </row>
    <row r="240" spans="1:26" ht="12.75">
      <c r="A240" s="141">
        <f>+'SMAW-SMAW'!A240</f>
        <v>223</v>
      </c>
      <c r="B240" s="142">
        <v>18</v>
      </c>
      <c r="C240" s="143">
        <f t="shared" si="263"/>
        <v>457.2</v>
      </c>
      <c r="D240" s="143">
        <v>19.05</v>
      </c>
      <c r="E240" s="144" t="s">
        <v>94</v>
      </c>
      <c r="F240" s="145">
        <f t="shared" si="264"/>
        <v>2</v>
      </c>
      <c r="G240" s="145">
        <f t="shared" si="265"/>
        <v>2</v>
      </c>
      <c r="H240" s="145">
        <f t="shared" si="266"/>
        <v>3</v>
      </c>
      <c r="I240" s="146">
        <f t="shared" si="267"/>
        <v>13.044558795642326</v>
      </c>
      <c r="J240" s="147"/>
      <c r="K240" s="145">
        <f t="shared" si="268"/>
        <v>0.008816349035423374</v>
      </c>
      <c r="L240" s="145">
        <f t="shared" si="269"/>
        <v>6</v>
      </c>
      <c r="M240" s="145">
        <f t="shared" si="270"/>
        <v>34.1</v>
      </c>
      <c r="N240" s="145">
        <f t="shared" si="271"/>
        <v>221.75749952591954</v>
      </c>
      <c r="O240" s="145">
        <f t="shared" si="272"/>
        <v>1.3048966970160223</v>
      </c>
      <c r="P240" s="145">
        <f t="shared" si="273"/>
        <v>99.32025086806651</v>
      </c>
      <c r="Q240" s="147">
        <f t="shared" si="274"/>
        <v>356.4826470910021</v>
      </c>
      <c r="R240" s="147"/>
      <c r="S240" s="128">
        <f t="shared" si="275"/>
        <v>0.08695234696758879</v>
      </c>
      <c r="T240" s="128">
        <f t="shared" si="276"/>
        <v>5.466234631864118</v>
      </c>
      <c r="U240" s="145">
        <f t="shared" si="277"/>
        <v>0</v>
      </c>
      <c r="V240" s="145">
        <f t="shared" si="278"/>
        <v>0</v>
      </c>
      <c r="W240" s="128">
        <f t="shared" si="247"/>
        <v>0</v>
      </c>
      <c r="X240" t="str">
        <f t="shared" si="244"/>
        <v>1819,05</v>
      </c>
      <c r="Y240" s="151">
        <f t="shared" si="245"/>
        <v>0.08695234696758879</v>
      </c>
      <c r="Z240" s="151">
        <f t="shared" si="246"/>
        <v>5.466234631864118</v>
      </c>
    </row>
    <row r="241" spans="1:26" ht="12.75">
      <c r="A241" s="141">
        <f>+'SMAW-SMAW'!A241</f>
        <v>224</v>
      </c>
      <c r="B241" s="142">
        <v>18</v>
      </c>
      <c r="C241" s="143">
        <f t="shared" si="263"/>
        <v>457.2</v>
      </c>
      <c r="D241" s="143">
        <v>23.82</v>
      </c>
      <c r="E241" s="144" t="s">
        <v>89</v>
      </c>
      <c r="F241" s="145">
        <f t="shared" si="264"/>
        <v>2</v>
      </c>
      <c r="G241" s="145">
        <f t="shared" si="265"/>
        <v>2</v>
      </c>
      <c r="H241" s="145">
        <f t="shared" si="266"/>
        <v>3</v>
      </c>
      <c r="I241" s="146">
        <f t="shared" si="267"/>
        <v>13.044558795642326</v>
      </c>
      <c r="J241" s="147"/>
      <c r="K241" s="145">
        <f t="shared" si="268"/>
        <v>0.8498960470148013</v>
      </c>
      <c r="L241" s="145">
        <f t="shared" si="269"/>
        <v>6</v>
      </c>
      <c r="M241" s="145">
        <f t="shared" si="270"/>
        <v>43.64</v>
      </c>
      <c r="N241" s="145">
        <f t="shared" si="271"/>
        <v>221.75749952591954</v>
      </c>
      <c r="O241" s="145">
        <f t="shared" si="272"/>
        <v>129.84604573660337</v>
      </c>
      <c r="P241" s="145">
        <f t="shared" si="273"/>
        <v>104.36672905594276</v>
      </c>
      <c r="Q241" s="147">
        <f t="shared" si="274"/>
        <v>499.6102743184657</v>
      </c>
      <c r="R241" s="147"/>
      <c r="S241" s="128">
        <f t="shared" si="275"/>
        <v>0.08499175753229975</v>
      </c>
      <c r="T241" s="128">
        <f t="shared" si="276"/>
        <v>7.620111674864774</v>
      </c>
      <c r="U241" s="145">
        <f t="shared" si="277"/>
        <v>0</v>
      </c>
      <c r="V241" s="145">
        <f t="shared" si="278"/>
        <v>0</v>
      </c>
      <c r="W241" s="128">
        <f t="shared" si="247"/>
        <v>0</v>
      </c>
      <c r="X241" t="str">
        <f t="shared" si="244"/>
        <v>1823,82</v>
      </c>
      <c r="Y241" s="151">
        <f t="shared" si="245"/>
        <v>0.08499175753229975</v>
      </c>
      <c r="Z241" s="151">
        <f t="shared" si="246"/>
        <v>7.620111674864774</v>
      </c>
    </row>
    <row r="242" spans="1:26" ht="12.75">
      <c r="A242" s="141">
        <f>+'SMAW-SMAW'!A242</f>
        <v>225</v>
      </c>
      <c r="B242" s="142">
        <v>18</v>
      </c>
      <c r="C242" s="143">
        <f t="shared" si="263"/>
        <v>457.2</v>
      </c>
      <c r="D242" s="143">
        <v>29.36</v>
      </c>
      <c r="E242" s="144" t="s">
        <v>95</v>
      </c>
      <c r="F242" s="145">
        <f t="shared" si="264"/>
        <v>2</v>
      </c>
      <c r="G242" s="145">
        <f t="shared" si="265"/>
        <v>2</v>
      </c>
      <c r="H242" s="145">
        <f t="shared" si="266"/>
        <v>3</v>
      </c>
      <c r="I242" s="146">
        <f t="shared" si="267"/>
        <v>13.044558795642326</v>
      </c>
      <c r="J242" s="147"/>
      <c r="K242" s="145">
        <f t="shared" si="268"/>
        <v>1.826747520139697</v>
      </c>
      <c r="L242" s="145">
        <f t="shared" si="269"/>
        <v>6</v>
      </c>
      <c r="M242" s="145">
        <f t="shared" si="270"/>
        <v>54.72</v>
      </c>
      <c r="N242" s="145">
        <f t="shared" si="271"/>
        <v>221.75749952591954</v>
      </c>
      <c r="O242" s="145">
        <f t="shared" si="272"/>
        <v>289.2083625543562</v>
      </c>
      <c r="P242" s="145">
        <f t="shared" si="273"/>
        <v>110.22783789469213</v>
      </c>
      <c r="Q242" s="147">
        <f t="shared" si="274"/>
        <v>675.9136999749678</v>
      </c>
      <c r="R242" s="147"/>
      <c r="S242" s="128">
        <f t="shared" si="275"/>
        <v>0.08271467881710029</v>
      </c>
      <c r="T242" s="128">
        <f t="shared" si="276"/>
        <v>10.244981674393358</v>
      </c>
      <c r="U242" s="145">
        <f t="shared" si="277"/>
        <v>0</v>
      </c>
      <c r="V242" s="145">
        <f t="shared" si="278"/>
        <v>0</v>
      </c>
      <c r="W242" s="128">
        <f t="shared" si="247"/>
        <v>0</v>
      </c>
      <c r="X242" t="str">
        <f t="shared" si="244"/>
        <v>1829,36</v>
      </c>
      <c r="Y242" s="151">
        <f t="shared" si="245"/>
        <v>0.08271467881710029</v>
      </c>
      <c r="Z242" s="151">
        <f t="shared" si="246"/>
        <v>10.244981674393358</v>
      </c>
    </row>
    <row r="243" spans="1:26" ht="12.75">
      <c r="A243" s="141">
        <f>+'SMAW-SMAW'!A243</f>
        <v>226</v>
      </c>
      <c r="B243" s="142">
        <v>18</v>
      </c>
      <c r="C243" s="143">
        <f t="shared" si="263"/>
        <v>457.2</v>
      </c>
      <c r="D243" s="143">
        <v>34.92</v>
      </c>
      <c r="E243" s="144" t="s">
        <v>91</v>
      </c>
      <c r="F243" s="145">
        <f t="shared" si="264"/>
        <v>2</v>
      </c>
      <c r="G243" s="145">
        <f t="shared" si="265"/>
        <v>2</v>
      </c>
      <c r="H243" s="145">
        <f t="shared" si="266"/>
        <v>3</v>
      </c>
      <c r="I243" s="146">
        <f t="shared" si="267"/>
        <v>13.044558795642326</v>
      </c>
      <c r="J243" s="147"/>
      <c r="K243" s="145">
        <f t="shared" si="268"/>
        <v>2.8071255328787625</v>
      </c>
      <c r="L243" s="145">
        <f t="shared" si="269"/>
        <v>6</v>
      </c>
      <c r="M243" s="145">
        <f t="shared" si="270"/>
        <v>65.84</v>
      </c>
      <c r="N243" s="145">
        <f t="shared" si="271"/>
        <v>221.75749952591954</v>
      </c>
      <c r="O243" s="145">
        <f t="shared" si="272"/>
        <v>460.0281905366816</v>
      </c>
      <c r="P243" s="145">
        <f t="shared" si="273"/>
        <v>116.11010597112653</v>
      </c>
      <c r="Q243" s="147">
        <f t="shared" si="274"/>
        <v>863.7357960337276</v>
      </c>
      <c r="R243" s="147"/>
      <c r="S243" s="128">
        <f t="shared" si="275"/>
        <v>0.08042937960112398</v>
      </c>
      <c r="T243" s="128">
        <f t="shared" si="276"/>
        <v>13.009599398416457</v>
      </c>
      <c r="U243" s="145">
        <f t="shared" si="277"/>
        <v>0</v>
      </c>
      <c r="V243" s="145">
        <f t="shared" si="278"/>
        <v>0</v>
      </c>
      <c r="W243" s="128">
        <f t="shared" si="247"/>
        <v>0</v>
      </c>
      <c r="X243" t="str">
        <f t="shared" si="244"/>
        <v>1834,92</v>
      </c>
      <c r="Y243" s="151">
        <f t="shared" si="245"/>
        <v>0.08042937960112398</v>
      </c>
      <c r="Z243" s="151">
        <f t="shared" si="246"/>
        <v>13.009599398416457</v>
      </c>
    </row>
    <row r="244" spans="1:26" ht="12.75">
      <c r="A244" s="141">
        <f>+'SMAW-SMAW'!A244</f>
        <v>227</v>
      </c>
      <c r="B244" s="142">
        <v>18</v>
      </c>
      <c r="C244" s="143">
        <f t="shared" si="263"/>
        <v>457.2</v>
      </c>
      <c r="D244" s="143">
        <v>39.69</v>
      </c>
      <c r="E244" s="144" t="s">
        <v>96</v>
      </c>
      <c r="F244" s="145">
        <f t="shared" si="264"/>
        <v>2</v>
      </c>
      <c r="G244" s="145">
        <f t="shared" si="265"/>
        <v>2</v>
      </c>
      <c r="H244" s="145">
        <f t="shared" si="266"/>
        <v>3</v>
      </c>
      <c r="I244" s="146">
        <f t="shared" si="267"/>
        <v>13.044558795642326</v>
      </c>
      <c r="J244" s="147"/>
      <c r="K244" s="145">
        <f t="shared" si="268"/>
        <v>3.64820523085814</v>
      </c>
      <c r="L244" s="145">
        <f t="shared" si="269"/>
        <v>6</v>
      </c>
      <c r="M244" s="145">
        <f t="shared" si="270"/>
        <v>75.38</v>
      </c>
      <c r="N244" s="145">
        <f t="shared" si="271"/>
        <v>221.75749952591954</v>
      </c>
      <c r="O244" s="145">
        <f t="shared" si="272"/>
        <v>615.2652091901343</v>
      </c>
      <c r="P244" s="145">
        <f t="shared" si="273"/>
        <v>121.15658415900279</v>
      </c>
      <c r="Q244" s="147">
        <f t="shared" si="274"/>
        <v>1033.5592928750566</v>
      </c>
      <c r="R244" s="147"/>
      <c r="S244" s="128">
        <f t="shared" si="275"/>
        <v>0.0784687901658349</v>
      </c>
      <c r="T244" s="128">
        <f t="shared" si="276"/>
        <v>15.483050312599554</v>
      </c>
      <c r="U244" s="145">
        <f t="shared" si="277"/>
        <v>0</v>
      </c>
      <c r="V244" s="145">
        <f t="shared" si="278"/>
        <v>0</v>
      </c>
      <c r="W244" s="128">
        <f t="shared" si="247"/>
        <v>0</v>
      </c>
      <c r="X244" t="str">
        <f t="shared" si="244"/>
        <v>1839,69</v>
      </c>
      <c r="Y244" s="151">
        <f t="shared" si="245"/>
        <v>0.0784687901658349</v>
      </c>
      <c r="Z244" s="151">
        <f t="shared" si="246"/>
        <v>15.483050312599554</v>
      </c>
    </row>
    <row r="245" spans="1:26" ht="12.75">
      <c r="A245" s="141">
        <f>+'SMAW-SMAW'!A245</f>
        <v>228</v>
      </c>
      <c r="B245" s="142">
        <v>18</v>
      </c>
      <c r="C245" s="143">
        <f t="shared" si="263"/>
        <v>457.2</v>
      </c>
      <c r="D245" s="143">
        <v>45.24</v>
      </c>
      <c r="E245" s="144" t="s">
        <v>90</v>
      </c>
      <c r="F245" s="145">
        <f t="shared" si="264"/>
        <v>2</v>
      </c>
      <c r="G245" s="145">
        <f t="shared" si="265"/>
        <v>2</v>
      </c>
      <c r="H245" s="145">
        <f t="shared" si="266"/>
        <v>3</v>
      </c>
      <c r="I245" s="146">
        <f t="shared" si="267"/>
        <v>13.044558795642326</v>
      </c>
      <c r="J245" s="147"/>
      <c r="K245" s="145">
        <f t="shared" si="268"/>
        <v>4.626819973790122</v>
      </c>
      <c r="L245" s="145">
        <f t="shared" si="269"/>
        <v>6</v>
      </c>
      <c r="M245" s="145">
        <f t="shared" si="270"/>
        <v>86.48</v>
      </c>
      <c r="N245" s="145">
        <f t="shared" si="271"/>
        <v>221.75749952591954</v>
      </c>
      <c r="O245" s="145">
        <f t="shared" si="272"/>
        <v>805.986201707562</v>
      </c>
      <c r="P245" s="145">
        <f t="shared" si="273"/>
        <v>127.02827261659468</v>
      </c>
      <c r="Q245" s="147">
        <f t="shared" si="274"/>
        <v>1241.2519738500762</v>
      </c>
      <c r="R245" s="147"/>
      <c r="S245" s="128">
        <f t="shared" si="275"/>
        <v>0.07618760120024702</v>
      </c>
      <c r="T245" s="128">
        <f t="shared" si="276"/>
        <v>18.476372980403852</v>
      </c>
      <c r="U245" s="145">
        <f t="shared" si="277"/>
        <v>0</v>
      </c>
      <c r="V245" s="145">
        <f t="shared" si="278"/>
        <v>0</v>
      </c>
      <c r="W245" s="128">
        <f t="shared" si="247"/>
        <v>0</v>
      </c>
      <c r="X245" t="str">
        <f t="shared" si="244"/>
        <v>1845,24</v>
      </c>
      <c r="Y245" s="151">
        <f t="shared" si="245"/>
        <v>0.07618760120024702</v>
      </c>
      <c r="Z245" s="151">
        <f t="shared" si="246"/>
        <v>18.476372980403852</v>
      </c>
    </row>
    <row r="246" spans="1:26" ht="12.75">
      <c r="A246" s="141">
        <f>+'SMAW-SMAW'!A246</f>
        <v>229</v>
      </c>
      <c r="B246" s="142"/>
      <c r="C246" s="143"/>
      <c r="D246" s="143"/>
      <c r="E246" s="144"/>
      <c r="F246" s="145"/>
      <c r="G246" s="145">
        <f t="shared" si="265"/>
        <v>0</v>
      </c>
      <c r="H246" s="145"/>
      <c r="I246" s="146"/>
      <c r="J246" s="147"/>
      <c r="K246" s="145"/>
      <c r="L246" s="145"/>
      <c r="M246" s="145"/>
      <c r="N246" s="145"/>
      <c r="O246" s="145"/>
      <c r="P246" s="145"/>
      <c r="Q246" s="147"/>
      <c r="R246" s="147"/>
      <c r="S246" s="128"/>
      <c r="T246" s="128"/>
      <c r="U246" s="145"/>
      <c r="V246" s="145"/>
      <c r="W246" s="128">
        <f t="shared" si="247"/>
        <v>0</v>
      </c>
      <c r="X246">
        <f t="shared" si="244"/>
      </c>
      <c r="Y246" s="151">
        <f t="shared" si="245"/>
        <v>0</v>
      </c>
      <c r="Z246" s="151">
        <f t="shared" si="246"/>
        <v>0</v>
      </c>
    </row>
    <row r="247" spans="1:26" ht="12.75">
      <c r="A247" s="141">
        <f>+'SMAW-SMAW'!A247</f>
        <v>230</v>
      </c>
      <c r="B247" s="142">
        <v>20</v>
      </c>
      <c r="C247" s="143">
        <f aca="true" t="shared" si="279" ref="C247:C260">25.4*B247</f>
        <v>508</v>
      </c>
      <c r="D247" s="143">
        <v>4.78</v>
      </c>
      <c r="E247" s="144" t="s">
        <v>81</v>
      </c>
      <c r="F247" s="145">
        <f aca="true" t="shared" si="280" ref="F247:F260">IF($D$6=1,2,3)</f>
        <v>2</v>
      </c>
      <c r="G247" s="145">
        <f t="shared" si="265"/>
        <v>2</v>
      </c>
      <c r="H247" s="145">
        <f aca="true" t="shared" si="281" ref="H247:H260">IF(D247&lt;=19,2,3)</f>
        <v>2</v>
      </c>
      <c r="I247" s="146">
        <f aca="true" t="shared" si="282" ref="I247:I260">IF(D247&lt;=19,(D247-G247)*TAN($C$8*PI()/180),(19-G247)*TAN($C$8*PI()/180))</f>
        <v>2.13316902658151</v>
      </c>
      <c r="J247" s="147"/>
      <c r="K247" s="145">
        <f aca="true" t="shared" si="283" ref="K247:K260">IF(D247&lt;=19,0,(D247-19)*TAN($C$10*PI()/180))</f>
        <v>0</v>
      </c>
      <c r="L247" s="145">
        <f aca="true" t="shared" si="284" ref="L247:L260">+F247*(G247*1.5)</f>
        <v>6</v>
      </c>
      <c r="M247" s="145">
        <f aca="true" t="shared" si="285" ref="M247:M260">+F247*(D247-G247)</f>
        <v>5.5600000000000005</v>
      </c>
      <c r="N247" s="145">
        <f aca="true" t="shared" si="286" ref="N247:N260">IF(D247&lt;=19,(D247-G247)*I247,(19-G247)*I247)</f>
        <v>5.930209893896598</v>
      </c>
      <c r="O247" s="145">
        <f aca="true" t="shared" si="287" ref="O247:O260">IF(D247&lt;=19,0,(I247*(D247-19)*2)+((K247)*(D247-19)))</f>
        <v>0</v>
      </c>
      <c r="P247" s="145">
        <f aca="true" t="shared" si="288" ref="P247:P260">+(5+F247+(2*(I247+K247)))*H247</f>
        <v>22.53267610632604</v>
      </c>
      <c r="Q247" s="147">
        <f aca="true" t="shared" si="289" ref="Q247:Q260">SUM(M247:P247)</f>
        <v>34.02288600022264</v>
      </c>
      <c r="R247" s="147"/>
      <c r="S247" s="128">
        <f aca="true" t="shared" si="290" ref="S247:S260">IF(D$6=1,(PI()*(C247-(2*D247)+(2*G247))*L247*0.1*0.01*7.85*0.001/(S$16*S$17)),0)</f>
        <v>0.10325771025855662</v>
      </c>
      <c r="T247" s="128">
        <f aca="true" t="shared" si="291" ref="T247:T260">IF(D$6=1,(PI()*(C247-(0.5*D247))*(Q247)*0.1*0.01*7.85*0.001/(T$16*T$17)),0)</f>
        <v>0.5892150589606756</v>
      </c>
      <c r="U247" s="145">
        <f aca="true" t="shared" si="292" ref="U247:U260">IF(D$6=1,0,(PI()*(C247-(2*D247)+(2*G247))*L247*0.1*0.01*7.85*0.001/(U$16*U$17)))</f>
        <v>0</v>
      </c>
      <c r="V247" s="145">
        <f aca="true" t="shared" si="293" ref="V247:V260">IF(D$6=1,0,(PI()*(C247-(0.5*D247))*(Q247)*0.1*0.01*7.85*0.001/(V$16*V$17)))</f>
        <v>0</v>
      </c>
      <c r="W247" s="128">
        <f t="shared" si="247"/>
        <v>0</v>
      </c>
      <c r="X247" t="str">
        <f t="shared" si="244"/>
        <v>204,78</v>
      </c>
      <c r="Y247" s="151">
        <f t="shared" si="245"/>
        <v>0.10325771025855662</v>
      </c>
      <c r="Z247" s="151">
        <f t="shared" si="246"/>
        <v>0.5892150589606756</v>
      </c>
    </row>
    <row r="248" spans="1:26" ht="12.75">
      <c r="A248" s="141">
        <f>+'SMAW-SMAW'!A248</f>
        <v>231</v>
      </c>
      <c r="B248" s="142">
        <v>20</v>
      </c>
      <c r="C248" s="143">
        <f t="shared" si="279"/>
        <v>508</v>
      </c>
      <c r="D248" s="143">
        <v>5.54</v>
      </c>
      <c r="E248" s="144" t="s">
        <v>84</v>
      </c>
      <c r="F248" s="145">
        <f t="shared" si="280"/>
        <v>2</v>
      </c>
      <c r="G248" s="145">
        <f t="shared" si="265"/>
        <v>2</v>
      </c>
      <c r="H248" s="145">
        <f t="shared" si="281"/>
        <v>2</v>
      </c>
      <c r="I248" s="146">
        <f t="shared" si="282"/>
        <v>2.71633753744552</v>
      </c>
      <c r="J248" s="147"/>
      <c r="K248" s="145">
        <f t="shared" si="283"/>
        <v>0</v>
      </c>
      <c r="L248" s="145">
        <f t="shared" si="284"/>
        <v>6</v>
      </c>
      <c r="M248" s="145">
        <f t="shared" si="285"/>
        <v>7.08</v>
      </c>
      <c r="N248" s="145">
        <f t="shared" si="286"/>
        <v>9.61583488255714</v>
      </c>
      <c r="O248" s="145">
        <f t="shared" si="287"/>
        <v>0</v>
      </c>
      <c r="P248" s="145">
        <f t="shared" si="288"/>
        <v>24.86535014978208</v>
      </c>
      <c r="Q248" s="147">
        <f t="shared" si="289"/>
        <v>41.561185032339225</v>
      </c>
      <c r="R248" s="147"/>
      <c r="S248" s="128">
        <f t="shared" si="290"/>
        <v>0.1029453312290347</v>
      </c>
      <c r="T248" s="128">
        <f t="shared" si="291"/>
        <v>0.7192238585670615</v>
      </c>
      <c r="U248" s="145">
        <f t="shared" si="292"/>
        <v>0</v>
      </c>
      <c r="V248" s="145">
        <f t="shared" si="293"/>
        <v>0</v>
      </c>
      <c r="W248" s="128">
        <f t="shared" si="247"/>
        <v>0</v>
      </c>
      <c r="X248" t="str">
        <f t="shared" si="244"/>
        <v>205,54</v>
      </c>
      <c r="Y248" s="151">
        <f t="shared" si="245"/>
        <v>0.1029453312290347</v>
      </c>
      <c r="Z248" s="151">
        <f t="shared" si="246"/>
        <v>0.7192238585670615</v>
      </c>
    </row>
    <row r="249" spans="1:26" ht="12.75">
      <c r="A249" s="141">
        <f>+'SMAW-SMAW'!A249</f>
        <v>232</v>
      </c>
      <c r="B249" s="142">
        <v>20</v>
      </c>
      <c r="C249" s="143">
        <f t="shared" si="279"/>
        <v>508</v>
      </c>
      <c r="D249" s="143">
        <v>6.35</v>
      </c>
      <c r="E249" s="144" t="s">
        <v>97</v>
      </c>
      <c r="F249" s="145">
        <f t="shared" si="280"/>
        <v>2</v>
      </c>
      <c r="G249" s="145">
        <f t="shared" si="265"/>
        <v>2</v>
      </c>
      <c r="H249" s="145">
        <f t="shared" si="281"/>
        <v>2</v>
      </c>
      <c r="I249" s="146">
        <f t="shared" si="282"/>
        <v>3.337872397708477</v>
      </c>
      <c r="J249" s="147"/>
      <c r="K249" s="145">
        <f t="shared" si="283"/>
        <v>0</v>
      </c>
      <c r="L249" s="145">
        <f t="shared" si="284"/>
        <v>6</v>
      </c>
      <c r="M249" s="145">
        <f t="shared" si="285"/>
        <v>8.7</v>
      </c>
      <c r="N249" s="145">
        <f t="shared" si="286"/>
        <v>14.519744930031875</v>
      </c>
      <c r="O249" s="145">
        <f t="shared" si="287"/>
        <v>0</v>
      </c>
      <c r="P249" s="145">
        <f t="shared" si="288"/>
        <v>27.351489590833907</v>
      </c>
      <c r="Q249" s="147">
        <f t="shared" si="289"/>
        <v>50.57123452086578</v>
      </c>
      <c r="R249" s="147"/>
      <c r="S249" s="128">
        <f t="shared" si="290"/>
        <v>0.10261240094757051</v>
      </c>
      <c r="T249" s="128">
        <f t="shared" si="291"/>
        <v>0.8744428731009766</v>
      </c>
      <c r="U249" s="145">
        <f t="shared" si="292"/>
        <v>0</v>
      </c>
      <c r="V249" s="145">
        <f t="shared" si="293"/>
        <v>0</v>
      </c>
      <c r="W249" s="128">
        <f t="shared" si="247"/>
        <v>0</v>
      </c>
      <c r="X249" t="str">
        <f t="shared" si="244"/>
        <v>206,35</v>
      </c>
      <c r="Y249" s="151">
        <f t="shared" si="245"/>
        <v>0.10261240094757051</v>
      </c>
      <c r="Z249" s="151">
        <f t="shared" si="246"/>
        <v>0.8744428731009766</v>
      </c>
    </row>
    <row r="250" spans="1:26" ht="12.75">
      <c r="A250" s="141">
        <f>+'SMAW-SMAW'!A250</f>
        <v>233</v>
      </c>
      <c r="B250" s="142">
        <v>20</v>
      </c>
      <c r="C250" s="143">
        <f t="shared" si="279"/>
        <v>508</v>
      </c>
      <c r="D250" s="143">
        <v>9.52</v>
      </c>
      <c r="E250" s="144" t="s">
        <v>92</v>
      </c>
      <c r="F250" s="145">
        <f t="shared" si="280"/>
        <v>2</v>
      </c>
      <c r="G250" s="145">
        <f t="shared" si="265"/>
        <v>2</v>
      </c>
      <c r="H250" s="145">
        <f t="shared" si="281"/>
        <v>2</v>
      </c>
      <c r="I250" s="146">
        <f t="shared" si="282"/>
        <v>5.770298949601782</v>
      </c>
      <c r="J250" s="147"/>
      <c r="K250" s="145">
        <f t="shared" si="283"/>
        <v>0</v>
      </c>
      <c r="L250" s="145">
        <f t="shared" si="284"/>
        <v>6</v>
      </c>
      <c r="M250" s="145">
        <f t="shared" si="285"/>
        <v>15.04</v>
      </c>
      <c r="N250" s="145">
        <f t="shared" si="286"/>
        <v>43.39264810100539</v>
      </c>
      <c r="O250" s="145">
        <f t="shared" si="287"/>
        <v>0</v>
      </c>
      <c r="P250" s="145">
        <f t="shared" si="288"/>
        <v>37.08119579840712</v>
      </c>
      <c r="Q250" s="147">
        <f t="shared" si="289"/>
        <v>95.5138438994125</v>
      </c>
      <c r="R250" s="147"/>
      <c r="S250" s="128">
        <f t="shared" si="290"/>
        <v>0.10130945157443293</v>
      </c>
      <c r="T250" s="128">
        <f t="shared" si="291"/>
        <v>1.6463740419343544</v>
      </c>
      <c r="U250" s="145">
        <f t="shared" si="292"/>
        <v>0</v>
      </c>
      <c r="V250" s="145">
        <f t="shared" si="293"/>
        <v>0</v>
      </c>
      <c r="W250" s="128">
        <f t="shared" si="247"/>
        <v>0</v>
      </c>
      <c r="X250" t="str">
        <f t="shared" si="244"/>
        <v>209,52</v>
      </c>
      <c r="Y250" s="151">
        <f t="shared" si="245"/>
        <v>0.10130945157443293</v>
      </c>
      <c r="Z250" s="151">
        <f t="shared" si="246"/>
        <v>1.6463740419343544</v>
      </c>
    </row>
    <row r="251" spans="1:26" ht="12.75">
      <c r="A251" s="141">
        <f>+'SMAW-SMAW'!A251</f>
        <v>234</v>
      </c>
      <c r="B251" s="142">
        <v>20</v>
      </c>
      <c r="C251" s="143">
        <f t="shared" si="279"/>
        <v>508</v>
      </c>
      <c r="D251" s="143">
        <v>9.52</v>
      </c>
      <c r="E251" s="144" t="s">
        <v>86</v>
      </c>
      <c r="F251" s="145">
        <f t="shared" si="280"/>
        <v>2</v>
      </c>
      <c r="G251" s="145">
        <f t="shared" si="265"/>
        <v>2</v>
      </c>
      <c r="H251" s="145">
        <f t="shared" si="281"/>
        <v>2</v>
      </c>
      <c r="I251" s="146">
        <f t="shared" si="282"/>
        <v>5.770298949601782</v>
      </c>
      <c r="J251" s="147"/>
      <c r="K251" s="145">
        <f t="shared" si="283"/>
        <v>0</v>
      </c>
      <c r="L251" s="145">
        <f t="shared" si="284"/>
        <v>6</v>
      </c>
      <c r="M251" s="145">
        <f t="shared" si="285"/>
        <v>15.04</v>
      </c>
      <c r="N251" s="145">
        <f t="shared" si="286"/>
        <v>43.39264810100539</v>
      </c>
      <c r="O251" s="145">
        <f t="shared" si="287"/>
        <v>0</v>
      </c>
      <c r="P251" s="145">
        <f t="shared" si="288"/>
        <v>37.08119579840712</v>
      </c>
      <c r="Q251" s="147">
        <f t="shared" si="289"/>
        <v>95.5138438994125</v>
      </c>
      <c r="R251" s="147"/>
      <c r="S251" s="128">
        <f t="shared" si="290"/>
        <v>0.10130945157443293</v>
      </c>
      <c r="T251" s="128">
        <f t="shared" si="291"/>
        <v>1.6463740419343544</v>
      </c>
      <c r="U251" s="145">
        <f t="shared" si="292"/>
        <v>0</v>
      </c>
      <c r="V251" s="145">
        <f t="shared" si="293"/>
        <v>0</v>
      </c>
      <c r="W251" s="128">
        <f t="shared" si="247"/>
        <v>0</v>
      </c>
      <c r="X251" t="str">
        <f t="shared" si="244"/>
        <v>209,52</v>
      </c>
      <c r="Y251" s="151">
        <f t="shared" si="245"/>
        <v>0.10130945157443293</v>
      </c>
      <c r="Z251" s="151">
        <f t="shared" si="246"/>
        <v>1.6463740419343544</v>
      </c>
    </row>
    <row r="252" spans="1:26" ht="12.75">
      <c r="A252" s="141">
        <f>+'SMAW-SMAW'!A252</f>
        <v>235</v>
      </c>
      <c r="B252" s="142">
        <v>20</v>
      </c>
      <c r="C252" s="143">
        <f t="shared" si="279"/>
        <v>508</v>
      </c>
      <c r="D252" s="143">
        <v>12.7</v>
      </c>
      <c r="E252" s="144" t="s">
        <v>93</v>
      </c>
      <c r="F252" s="145">
        <f t="shared" si="280"/>
        <v>2</v>
      </c>
      <c r="G252" s="145">
        <f t="shared" si="265"/>
        <v>2</v>
      </c>
      <c r="H252" s="145">
        <f t="shared" si="281"/>
        <v>2</v>
      </c>
      <c r="I252" s="146">
        <f t="shared" si="282"/>
        <v>8.210398771374875</v>
      </c>
      <c r="J252" s="147"/>
      <c r="K252" s="145">
        <f t="shared" si="283"/>
        <v>0</v>
      </c>
      <c r="L252" s="145">
        <f t="shared" si="284"/>
        <v>6</v>
      </c>
      <c r="M252" s="145">
        <f t="shared" si="285"/>
        <v>21.4</v>
      </c>
      <c r="N252" s="145">
        <f t="shared" si="286"/>
        <v>87.85126685371115</v>
      </c>
      <c r="O252" s="145">
        <f t="shared" si="287"/>
        <v>0</v>
      </c>
      <c r="P252" s="145">
        <f t="shared" si="288"/>
        <v>46.8415950854995</v>
      </c>
      <c r="Q252" s="147">
        <f t="shared" si="289"/>
        <v>156.09286193921065</v>
      </c>
      <c r="R252" s="147"/>
      <c r="S252" s="128">
        <f t="shared" si="290"/>
        <v>0.1000023919509069</v>
      </c>
      <c r="T252" s="128">
        <f t="shared" si="291"/>
        <v>2.682074845344055</v>
      </c>
      <c r="U252" s="145">
        <f t="shared" si="292"/>
        <v>0</v>
      </c>
      <c r="V252" s="145">
        <f t="shared" si="293"/>
        <v>0</v>
      </c>
      <c r="W252" s="128">
        <f t="shared" si="247"/>
        <v>0</v>
      </c>
      <c r="X252" t="str">
        <f t="shared" si="244"/>
        <v>2012,7</v>
      </c>
      <c r="Y252" s="151">
        <f t="shared" si="245"/>
        <v>0.1000023919509069</v>
      </c>
      <c r="Z252" s="151">
        <f t="shared" si="246"/>
        <v>2.682074845344055</v>
      </c>
    </row>
    <row r="253" spans="1:26" ht="12.75">
      <c r="A253" s="141">
        <f>+'SMAW-SMAW'!A253</f>
        <v>236</v>
      </c>
      <c r="B253" s="142">
        <v>20</v>
      </c>
      <c r="C253" s="143">
        <f t="shared" si="279"/>
        <v>508</v>
      </c>
      <c r="D253" s="143">
        <v>12.7</v>
      </c>
      <c r="E253" s="144" t="s">
        <v>82</v>
      </c>
      <c r="F253" s="145">
        <f t="shared" si="280"/>
        <v>2</v>
      </c>
      <c r="G253" s="145">
        <f t="shared" si="265"/>
        <v>2</v>
      </c>
      <c r="H253" s="145">
        <f t="shared" si="281"/>
        <v>2</v>
      </c>
      <c r="I253" s="146">
        <f t="shared" si="282"/>
        <v>8.210398771374875</v>
      </c>
      <c r="J253" s="147"/>
      <c r="K253" s="145">
        <f t="shared" si="283"/>
        <v>0</v>
      </c>
      <c r="L253" s="145">
        <f t="shared" si="284"/>
        <v>6</v>
      </c>
      <c r="M253" s="145">
        <f t="shared" si="285"/>
        <v>21.4</v>
      </c>
      <c r="N253" s="145">
        <f t="shared" si="286"/>
        <v>87.85126685371115</v>
      </c>
      <c r="O253" s="145">
        <f t="shared" si="287"/>
        <v>0</v>
      </c>
      <c r="P253" s="145">
        <f t="shared" si="288"/>
        <v>46.8415950854995</v>
      </c>
      <c r="Q253" s="147">
        <f t="shared" si="289"/>
        <v>156.09286193921065</v>
      </c>
      <c r="R253" s="147"/>
      <c r="S253" s="128">
        <f t="shared" si="290"/>
        <v>0.1000023919509069</v>
      </c>
      <c r="T253" s="128">
        <f t="shared" si="291"/>
        <v>2.682074845344055</v>
      </c>
      <c r="U253" s="145">
        <f t="shared" si="292"/>
        <v>0</v>
      </c>
      <c r="V253" s="145">
        <f t="shared" si="293"/>
        <v>0</v>
      </c>
      <c r="W253" s="128">
        <f t="shared" si="247"/>
        <v>0</v>
      </c>
      <c r="X253" t="str">
        <f t="shared" si="244"/>
        <v>2012,7</v>
      </c>
      <c r="Y253" s="151">
        <f t="shared" si="245"/>
        <v>0.1000023919509069</v>
      </c>
      <c r="Z253" s="151">
        <f t="shared" si="246"/>
        <v>2.682074845344055</v>
      </c>
    </row>
    <row r="254" spans="1:26" ht="12.75">
      <c r="A254" s="141">
        <f>+'SMAW-SMAW'!A254</f>
        <v>237</v>
      </c>
      <c r="B254" s="142">
        <v>20</v>
      </c>
      <c r="C254" s="143">
        <f t="shared" si="279"/>
        <v>508</v>
      </c>
      <c r="D254" s="143">
        <v>15.09</v>
      </c>
      <c r="E254" s="144" t="s">
        <v>87</v>
      </c>
      <c r="F254" s="145">
        <f t="shared" si="280"/>
        <v>2</v>
      </c>
      <c r="G254" s="145">
        <f t="shared" si="265"/>
        <v>2</v>
      </c>
      <c r="H254" s="145">
        <f t="shared" si="281"/>
        <v>2</v>
      </c>
      <c r="I254" s="146">
        <f t="shared" si="282"/>
        <v>10.04431027264459</v>
      </c>
      <c r="J254" s="147"/>
      <c r="K254" s="145">
        <f t="shared" si="283"/>
        <v>0</v>
      </c>
      <c r="L254" s="145">
        <f t="shared" si="284"/>
        <v>6</v>
      </c>
      <c r="M254" s="145">
        <f t="shared" si="285"/>
        <v>26.18</v>
      </c>
      <c r="N254" s="145">
        <f t="shared" si="286"/>
        <v>131.4800214689177</v>
      </c>
      <c r="O254" s="145">
        <f t="shared" si="287"/>
        <v>0</v>
      </c>
      <c r="P254" s="145">
        <f t="shared" si="288"/>
        <v>54.17724109057836</v>
      </c>
      <c r="Q254" s="147">
        <f t="shared" si="289"/>
        <v>211.83726255949608</v>
      </c>
      <c r="R254" s="147"/>
      <c r="S254" s="128">
        <f t="shared" si="290"/>
        <v>0.09902004210806815</v>
      </c>
      <c r="T254" s="128">
        <f t="shared" si="291"/>
        <v>3.6312355480675014</v>
      </c>
      <c r="U254" s="145">
        <f t="shared" si="292"/>
        <v>0</v>
      </c>
      <c r="V254" s="145">
        <f t="shared" si="293"/>
        <v>0</v>
      </c>
      <c r="W254" s="128">
        <f t="shared" si="247"/>
        <v>0</v>
      </c>
      <c r="X254" t="str">
        <f t="shared" si="244"/>
        <v>2015,09</v>
      </c>
      <c r="Y254" s="151">
        <f t="shared" si="245"/>
        <v>0.09902004210806815</v>
      </c>
      <c r="Z254" s="151">
        <f t="shared" si="246"/>
        <v>3.6312355480675014</v>
      </c>
    </row>
    <row r="255" spans="1:26" ht="12.75">
      <c r="A255" s="141">
        <f>+'SMAW-SMAW'!A255</f>
        <v>238</v>
      </c>
      <c r="B255" s="142">
        <v>20</v>
      </c>
      <c r="C255" s="143">
        <f t="shared" si="279"/>
        <v>508</v>
      </c>
      <c r="D255" s="143">
        <v>20.62</v>
      </c>
      <c r="E255" s="144" t="s">
        <v>94</v>
      </c>
      <c r="F255" s="145">
        <f t="shared" si="280"/>
        <v>2</v>
      </c>
      <c r="G255" s="145">
        <f t="shared" si="265"/>
        <v>2</v>
      </c>
      <c r="H255" s="145">
        <f t="shared" si="281"/>
        <v>3</v>
      </c>
      <c r="I255" s="146">
        <f t="shared" si="282"/>
        <v>13.044558795642326</v>
      </c>
      <c r="J255" s="147"/>
      <c r="K255" s="145">
        <f t="shared" si="283"/>
        <v>0.28564970874771345</v>
      </c>
      <c r="L255" s="145">
        <f t="shared" si="284"/>
        <v>6</v>
      </c>
      <c r="M255" s="145">
        <f t="shared" si="285"/>
        <v>37.24</v>
      </c>
      <c r="N255" s="145">
        <f t="shared" si="286"/>
        <v>221.75749952591954</v>
      </c>
      <c r="O255" s="145">
        <f t="shared" si="287"/>
        <v>42.72712302605245</v>
      </c>
      <c r="P255" s="145">
        <f t="shared" si="288"/>
        <v>100.98125102634023</v>
      </c>
      <c r="Q255" s="147">
        <f t="shared" si="289"/>
        <v>402.7058735783122</v>
      </c>
      <c r="R255" s="147"/>
      <c r="S255" s="128">
        <f t="shared" si="290"/>
        <v>0.09674707364325714</v>
      </c>
      <c r="T255" s="128">
        <f t="shared" si="291"/>
        <v>6.864895199118059</v>
      </c>
      <c r="U255" s="145">
        <f t="shared" si="292"/>
        <v>0</v>
      </c>
      <c r="V255" s="145">
        <f t="shared" si="293"/>
        <v>0</v>
      </c>
      <c r="W255" s="128">
        <f t="shared" si="247"/>
        <v>0</v>
      </c>
      <c r="X255" t="str">
        <f t="shared" si="244"/>
        <v>2020,62</v>
      </c>
      <c r="Y255" s="151">
        <f t="shared" si="245"/>
        <v>0.09674707364325714</v>
      </c>
      <c r="Z255" s="151">
        <f t="shared" si="246"/>
        <v>6.864895199118059</v>
      </c>
    </row>
    <row r="256" spans="1:26" ht="12.75">
      <c r="A256" s="141">
        <f>+'SMAW-SMAW'!A256</f>
        <v>239</v>
      </c>
      <c r="B256" s="142">
        <v>20</v>
      </c>
      <c r="C256" s="143">
        <f t="shared" si="279"/>
        <v>508</v>
      </c>
      <c r="D256" s="143">
        <v>26.19</v>
      </c>
      <c r="E256" s="144" t="s">
        <v>89</v>
      </c>
      <c r="F256" s="145">
        <f t="shared" si="280"/>
        <v>2</v>
      </c>
      <c r="G256" s="145">
        <f t="shared" si="265"/>
        <v>2</v>
      </c>
      <c r="H256" s="145">
        <f t="shared" si="281"/>
        <v>3</v>
      </c>
      <c r="I256" s="146">
        <f t="shared" si="282"/>
        <v>13.044558795642326</v>
      </c>
      <c r="J256" s="147"/>
      <c r="K256" s="145">
        <f t="shared" si="283"/>
        <v>1.2677909912938634</v>
      </c>
      <c r="L256" s="145">
        <f t="shared" si="284"/>
        <v>6</v>
      </c>
      <c r="M256" s="145">
        <f t="shared" si="285"/>
        <v>48.38</v>
      </c>
      <c r="N256" s="145">
        <f t="shared" si="286"/>
        <v>221.75749952591954</v>
      </c>
      <c r="O256" s="145">
        <f t="shared" si="287"/>
        <v>196.69617270873954</v>
      </c>
      <c r="P256" s="145">
        <f t="shared" si="288"/>
        <v>106.87409872161713</v>
      </c>
      <c r="Q256" s="147">
        <f t="shared" si="289"/>
        <v>573.7077709562762</v>
      </c>
      <c r="R256" s="147"/>
      <c r="S256" s="128">
        <f t="shared" si="290"/>
        <v>0.09445766417689237</v>
      </c>
      <c r="T256" s="128">
        <f t="shared" si="291"/>
        <v>9.725223861882554</v>
      </c>
      <c r="U256" s="145">
        <f t="shared" si="292"/>
        <v>0</v>
      </c>
      <c r="V256" s="145">
        <f t="shared" si="293"/>
        <v>0</v>
      </c>
      <c r="W256" s="128">
        <f t="shared" si="247"/>
        <v>0</v>
      </c>
      <c r="X256" t="str">
        <f t="shared" si="244"/>
        <v>2026,19</v>
      </c>
      <c r="Y256" s="151">
        <f t="shared" si="245"/>
        <v>0.09445766417689237</v>
      </c>
      <c r="Z256" s="151">
        <f t="shared" si="246"/>
        <v>9.725223861882554</v>
      </c>
    </row>
    <row r="257" spans="1:26" ht="12.75">
      <c r="A257" s="141">
        <f>+'SMAW-SMAW'!A257</f>
        <v>240</v>
      </c>
      <c r="B257" s="142">
        <v>20</v>
      </c>
      <c r="C257" s="143">
        <f t="shared" si="279"/>
        <v>508</v>
      </c>
      <c r="D257" s="143">
        <v>32.54</v>
      </c>
      <c r="E257" s="144" t="s">
        <v>95</v>
      </c>
      <c r="F257" s="145">
        <f t="shared" si="280"/>
        <v>2</v>
      </c>
      <c r="G257" s="145">
        <f t="shared" si="265"/>
        <v>2</v>
      </c>
      <c r="H257" s="145">
        <f t="shared" si="281"/>
        <v>3</v>
      </c>
      <c r="I257" s="146">
        <f t="shared" si="282"/>
        <v>13.044558795642326</v>
      </c>
      <c r="J257" s="147"/>
      <c r="K257" s="145">
        <f t="shared" si="283"/>
        <v>2.3874673187926154</v>
      </c>
      <c r="L257" s="145">
        <f t="shared" si="284"/>
        <v>6</v>
      </c>
      <c r="M257" s="145">
        <f t="shared" si="285"/>
        <v>61.08</v>
      </c>
      <c r="N257" s="145">
        <f t="shared" si="286"/>
        <v>221.75749952591954</v>
      </c>
      <c r="O257" s="145">
        <f t="shared" si="287"/>
        <v>385.57295968244614</v>
      </c>
      <c r="P257" s="145">
        <f t="shared" si="288"/>
        <v>113.59215668660964</v>
      </c>
      <c r="Q257" s="147">
        <f t="shared" si="289"/>
        <v>782.0026158949753</v>
      </c>
      <c r="R257" s="147"/>
      <c r="S257" s="128">
        <f t="shared" si="290"/>
        <v>0.09184765518022875</v>
      </c>
      <c r="T257" s="128">
        <f t="shared" si="291"/>
        <v>13.171096868818887</v>
      </c>
      <c r="U257" s="145">
        <f t="shared" si="292"/>
        <v>0</v>
      </c>
      <c r="V257" s="145">
        <f t="shared" si="293"/>
        <v>0</v>
      </c>
      <c r="W257" s="128">
        <f t="shared" si="247"/>
        <v>0</v>
      </c>
      <c r="X257" t="str">
        <f t="shared" si="244"/>
        <v>2032,54</v>
      </c>
      <c r="Y257" s="151">
        <f t="shared" si="245"/>
        <v>0.09184765518022875</v>
      </c>
      <c r="Z257" s="151">
        <f t="shared" si="246"/>
        <v>13.171096868818887</v>
      </c>
    </row>
    <row r="258" spans="1:26" ht="12.75">
      <c r="A258" s="141">
        <f>+'SMAW-SMAW'!A258</f>
        <v>241</v>
      </c>
      <c r="B258" s="142">
        <v>20</v>
      </c>
      <c r="C258" s="143">
        <f t="shared" si="279"/>
        <v>508</v>
      </c>
      <c r="D258" s="143">
        <v>38.1</v>
      </c>
      <c r="E258" s="144" t="s">
        <v>91</v>
      </c>
      <c r="F258" s="145">
        <f t="shared" si="280"/>
        <v>2</v>
      </c>
      <c r="G258" s="145">
        <f t="shared" si="265"/>
        <v>2</v>
      </c>
      <c r="H258" s="145">
        <f t="shared" si="281"/>
        <v>3</v>
      </c>
      <c r="I258" s="146">
        <f t="shared" si="282"/>
        <v>13.044558795642326</v>
      </c>
      <c r="J258" s="147"/>
      <c r="K258" s="145">
        <f t="shared" si="283"/>
        <v>3.367845331531681</v>
      </c>
      <c r="L258" s="145">
        <f t="shared" si="284"/>
        <v>6</v>
      </c>
      <c r="M258" s="145">
        <f t="shared" si="285"/>
        <v>72.2</v>
      </c>
      <c r="N258" s="145">
        <f t="shared" si="286"/>
        <v>221.75749952591954</v>
      </c>
      <c r="O258" s="145">
        <f t="shared" si="287"/>
        <v>562.627991825792</v>
      </c>
      <c r="P258" s="145">
        <f t="shared" si="288"/>
        <v>119.47442476304404</v>
      </c>
      <c r="Q258" s="147">
        <f t="shared" si="289"/>
        <v>976.0599161147557</v>
      </c>
      <c r="R258" s="147"/>
      <c r="S258" s="128">
        <f t="shared" si="290"/>
        <v>0.08956235596425238</v>
      </c>
      <c r="T258" s="128">
        <f t="shared" si="291"/>
        <v>16.346619791696103</v>
      </c>
      <c r="U258" s="145">
        <f t="shared" si="292"/>
        <v>0</v>
      </c>
      <c r="V258" s="145">
        <f t="shared" si="293"/>
        <v>0</v>
      </c>
      <c r="W258" s="128">
        <f t="shared" si="247"/>
        <v>0</v>
      </c>
      <c r="X258" t="str">
        <f t="shared" si="244"/>
        <v>2038,1</v>
      </c>
      <c r="Y258" s="151">
        <f t="shared" si="245"/>
        <v>0.08956235596425238</v>
      </c>
      <c r="Z258" s="151">
        <f t="shared" si="246"/>
        <v>16.346619791696103</v>
      </c>
    </row>
    <row r="259" spans="1:26" ht="12.75">
      <c r="A259" s="141">
        <f>+'SMAW-SMAW'!A259</f>
        <v>242</v>
      </c>
      <c r="B259" s="142">
        <v>20</v>
      </c>
      <c r="C259" s="143">
        <f t="shared" si="279"/>
        <v>508</v>
      </c>
      <c r="D259" s="143">
        <v>44.45</v>
      </c>
      <c r="E259" s="144" t="s">
        <v>96</v>
      </c>
      <c r="F259" s="145">
        <f t="shared" si="280"/>
        <v>2</v>
      </c>
      <c r="G259" s="145">
        <f t="shared" si="265"/>
        <v>2</v>
      </c>
      <c r="H259" s="145">
        <f t="shared" si="281"/>
        <v>3</v>
      </c>
      <c r="I259" s="146">
        <f t="shared" si="282"/>
        <v>13.044558795642326</v>
      </c>
      <c r="J259" s="147"/>
      <c r="K259" s="145">
        <f t="shared" si="283"/>
        <v>4.487521659030434</v>
      </c>
      <c r="L259" s="145">
        <f t="shared" si="284"/>
        <v>6</v>
      </c>
      <c r="M259" s="145">
        <f t="shared" si="285"/>
        <v>84.9</v>
      </c>
      <c r="N259" s="145">
        <f t="shared" si="286"/>
        <v>221.75749952591954</v>
      </c>
      <c r="O259" s="145">
        <f t="shared" si="287"/>
        <v>778.175468920519</v>
      </c>
      <c r="P259" s="145">
        <f t="shared" si="288"/>
        <v>126.19248272803655</v>
      </c>
      <c r="Q259" s="147">
        <f t="shared" si="289"/>
        <v>1211.0254511744752</v>
      </c>
      <c r="R259" s="147"/>
      <c r="S259" s="128">
        <f t="shared" si="290"/>
        <v>0.08695234696758881</v>
      </c>
      <c r="T259" s="128">
        <f t="shared" si="291"/>
        <v>20.15001918255675</v>
      </c>
      <c r="U259" s="145">
        <f t="shared" si="292"/>
        <v>0</v>
      </c>
      <c r="V259" s="145">
        <f t="shared" si="293"/>
        <v>0</v>
      </c>
      <c r="W259" s="128">
        <f t="shared" si="247"/>
        <v>0</v>
      </c>
      <c r="X259" t="str">
        <f t="shared" si="244"/>
        <v>2044,45</v>
      </c>
      <c r="Y259" s="151">
        <f t="shared" si="245"/>
        <v>0.08695234696758881</v>
      </c>
      <c r="Z259" s="151">
        <f t="shared" si="246"/>
        <v>20.15001918255675</v>
      </c>
    </row>
    <row r="260" spans="1:26" ht="12.75">
      <c r="A260" s="141">
        <f>+'SMAW-SMAW'!A260</f>
        <v>243</v>
      </c>
      <c r="B260" s="142">
        <v>20</v>
      </c>
      <c r="C260" s="143">
        <f t="shared" si="279"/>
        <v>508</v>
      </c>
      <c r="D260" s="143">
        <v>50.01</v>
      </c>
      <c r="E260" s="144" t="s">
        <v>90</v>
      </c>
      <c r="F260" s="145">
        <f t="shared" si="280"/>
        <v>2</v>
      </c>
      <c r="G260" s="145">
        <f t="shared" si="265"/>
        <v>2</v>
      </c>
      <c r="H260" s="145">
        <f t="shared" si="281"/>
        <v>3</v>
      </c>
      <c r="I260" s="146">
        <f t="shared" si="282"/>
        <v>13.044558795642326</v>
      </c>
      <c r="J260" s="147"/>
      <c r="K260" s="145">
        <f t="shared" si="283"/>
        <v>5.467899671769499</v>
      </c>
      <c r="L260" s="145">
        <f t="shared" si="284"/>
        <v>6</v>
      </c>
      <c r="M260" s="145">
        <f t="shared" si="285"/>
        <v>96.02</v>
      </c>
      <c r="N260" s="145">
        <f t="shared" si="286"/>
        <v>221.75749952591954</v>
      </c>
      <c r="O260" s="145">
        <f t="shared" si="287"/>
        <v>978.5831053273091</v>
      </c>
      <c r="P260" s="145">
        <f t="shared" si="288"/>
        <v>132.07475080447097</v>
      </c>
      <c r="Q260" s="147">
        <f t="shared" si="289"/>
        <v>1428.4353556576998</v>
      </c>
      <c r="R260" s="147"/>
      <c r="S260" s="128">
        <f t="shared" si="290"/>
        <v>0.08466704775161248</v>
      </c>
      <c r="T260" s="128">
        <f t="shared" si="291"/>
        <v>23.631443941781203</v>
      </c>
      <c r="U260" s="145">
        <f t="shared" si="292"/>
        <v>0</v>
      </c>
      <c r="V260" s="145">
        <f t="shared" si="293"/>
        <v>0</v>
      </c>
      <c r="W260" s="128">
        <f t="shared" si="247"/>
        <v>0</v>
      </c>
      <c r="X260" t="str">
        <f t="shared" si="244"/>
        <v>2050,01</v>
      </c>
      <c r="Y260" s="151">
        <f t="shared" si="245"/>
        <v>0.08466704775161248</v>
      </c>
      <c r="Z260" s="151">
        <f t="shared" si="246"/>
        <v>23.631443941781203</v>
      </c>
    </row>
    <row r="261" spans="1:26" ht="12.75">
      <c r="A261" s="141">
        <f>+'SMAW-SMAW'!A261</f>
        <v>244</v>
      </c>
      <c r="B261" s="142"/>
      <c r="C261" s="143"/>
      <c r="D261" s="143"/>
      <c r="E261" s="144"/>
      <c r="F261" s="145"/>
      <c r="G261" s="145">
        <f t="shared" si="265"/>
        <v>0</v>
      </c>
      <c r="H261" s="145"/>
      <c r="I261" s="146"/>
      <c r="J261" s="147"/>
      <c r="K261" s="145"/>
      <c r="L261" s="145"/>
      <c r="M261" s="145"/>
      <c r="N261" s="145"/>
      <c r="O261" s="145"/>
      <c r="P261" s="145"/>
      <c r="Q261" s="147"/>
      <c r="R261" s="147"/>
      <c r="S261" s="128"/>
      <c r="T261" s="128"/>
      <c r="U261" s="145"/>
      <c r="V261" s="145"/>
      <c r="W261" s="128">
        <f t="shared" si="247"/>
        <v>0</v>
      </c>
      <c r="X261">
        <f t="shared" si="244"/>
      </c>
      <c r="Y261" s="151">
        <f t="shared" si="245"/>
        <v>0</v>
      </c>
      <c r="Z261" s="151">
        <f t="shared" si="246"/>
        <v>0</v>
      </c>
    </row>
    <row r="262" spans="1:26" ht="12.75">
      <c r="A262" s="141">
        <f>+'SMAW-SMAW'!A262</f>
        <v>245</v>
      </c>
      <c r="B262" s="142">
        <v>22</v>
      </c>
      <c r="C262" s="143">
        <f aca="true" t="shared" si="294" ref="C262:C275">25.4*B262</f>
        <v>558.8</v>
      </c>
      <c r="D262" s="143">
        <v>4.78</v>
      </c>
      <c r="E262" s="144" t="s">
        <v>81</v>
      </c>
      <c r="F262" s="145">
        <f aca="true" t="shared" si="295" ref="F262:F275">IF($D$6=1,2,3)</f>
        <v>2</v>
      </c>
      <c r="G262" s="145">
        <f t="shared" si="265"/>
        <v>2</v>
      </c>
      <c r="H262" s="145">
        <f aca="true" t="shared" si="296" ref="H262:H275">IF(D262&lt;=19,2,3)</f>
        <v>2</v>
      </c>
      <c r="I262" s="146">
        <f aca="true" t="shared" si="297" ref="I262:I275">IF(D262&lt;=19,(D262-G262)*TAN($C$8*PI()/180),(19-G262)*TAN($C$8*PI()/180))</f>
        <v>2.13316902658151</v>
      </c>
      <c r="J262" s="147"/>
      <c r="K262" s="145">
        <f aca="true" t="shared" si="298" ref="K262:K275">IF(D262&lt;=19,0,(D262-19)*TAN($C$10*PI()/180))</f>
        <v>0</v>
      </c>
      <c r="L262" s="145">
        <f aca="true" t="shared" si="299" ref="L262:L275">+F262*(G262*1.5)</f>
        <v>6</v>
      </c>
      <c r="M262" s="145">
        <f aca="true" t="shared" si="300" ref="M262:M275">+F262*(D262-G262)</f>
        <v>5.5600000000000005</v>
      </c>
      <c r="N262" s="145">
        <f aca="true" t="shared" si="301" ref="N262:N275">IF(D262&lt;=19,(D262-G262)*I262,(19-G262)*I262)</f>
        <v>5.930209893896598</v>
      </c>
      <c r="O262" s="145">
        <f aca="true" t="shared" si="302" ref="O262:O275">IF(D262&lt;=19,0,(I262*(D262-19)*2)+((K262)*(D262-19)))</f>
        <v>0</v>
      </c>
      <c r="P262" s="145">
        <f aca="true" t="shared" si="303" ref="P262:P275">+(5+F262+(2*(I262+K262)))*H262</f>
        <v>22.53267610632604</v>
      </c>
      <c r="Q262" s="147">
        <f aca="true" t="shared" si="304" ref="Q262:Q275">SUM(M262:P262)</f>
        <v>34.02288600022264</v>
      </c>
      <c r="R262" s="147"/>
      <c r="S262" s="128">
        <f aca="true" t="shared" si="305" ref="S262:S275">IF(D$6=1,(PI()*(C262-(2*D262)+(2*G262))*L262*0.1*0.01*7.85*0.001/(S$16*S$17)),0)</f>
        <v>0.11369774624521112</v>
      </c>
      <c r="T262" s="128">
        <f aca="true" t="shared" si="306" ref="T262:T275">IF(D$6=1,(PI()*(C262-(0.5*D262))*(Q262)*0.1*0.01*7.85*0.001/(T$16*T$17)),0)</f>
        <v>0.6484150846627034</v>
      </c>
      <c r="U262" s="145">
        <f aca="true" t="shared" si="307" ref="U262:U275">IF(D$6=1,0,(PI()*(C262-(2*D262)+(2*G262))*L262*0.1*0.01*7.85*0.001/(U$16*U$17)))</f>
        <v>0</v>
      </c>
      <c r="V262" s="145">
        <f aca="true" t="shared" si="308" ref="V262:V275">IF(D$6=1,0,(PI()*(C262-(0.5*D262))*(Q262)*0.1*0.01*7.85*0.001/(V$16*V$17)))</f>
        <v>0</v>
      </c>
      <c r="W262" s="128">
        <f t="shared" si="247"/>
        <v>0</v>
      </c>
      <c r="X262" t="str">
        <f t="shared" si="244"/>
        <v>224,78</v>
      </c>
      <c r="Y262" s="151">
        <f t="shared" si="245"/>
        <v>0.11369774624521112</v>
      </c>
      <c r="Z262" s="151">
        <f t="shared" si="246"/>
        <v>0.6484150846627034</v>
      </c>
    </row>
    <row r="263" spans="1:26" ht="12.75">
      <c r="A263" s="141">
        <f>+'SMAW-SMAW'!A263</f>
        <v>246</v>
      </c>
      <c r="B263" s="142">
        <v>22</v>
      </c>
      <c r="C263" s="143">
        <f t="shared" si="294"/>
        <v>558.8</v>
      </c>
      <c r="D263" s="143">
        <v>5.54</v>
      </c>
      <c r="E263" s="144" t="s">
        <v>84</v>
      </c>
      <c r="F263" s="145">
        <f t="shared" si="295"/>
        <v>2</v>
      </c>
      <c r="G263" s="145">
        <f t="shared" si="265"/>
        <v>2</v>
      </c>
      <c r="H263" s="145">
        <f t="shared" si="296"/>
        <v>2</v>
      </c>
      <c r="I263" s="146">
        <f t="shared" si="297"/>
        <v>2.71633753744552</v>
      </c>
      <c r="J263" s="147"/>
      <c r="K263" s="145">
        <f t="shared" si="298"/>
        <v>0</v>
      </c>
      <c r="L263" s="145">
        <f t="shared" si="299"/>
        <v>6</v>
      </c>
      <c r="M263" s="145">
        <f t="shared" si="300"/>
        <v>7.08</v>
      </c>
      <c r="N263" s="145">
        <f t="shared" si="301"/>
        <v>9.61583488255714</v>
      </c>
      <c r="O263" s="145">
        <f t="shared" si="302"/>
        <v>0</v>
      </c>
      <c r="P263" s="145">
        <f t="shared" si="303"/>
        <v>24.86535014978208</v>
      </c>
      <c r="Q263" s="147">
        <f t="shared" si="304"/>
        <v>41.561185032339225</v>
      </c>
      <c r="R263" s="147"/>
      <c r="S263" s="128">
        <f t="shared" si="305"/>
        <v>0.11338536721568912</v>
      </c>
      <c r="T263" s="128">
        <f t="shared" si="306"/>
        <v>0.7915405697979992</v>
      </c>
      <c r="U263" s="145">
        <f t="shared" si="307"/>
        <v>0</v>
      </c>
      <c r="V263" s="145">
        <f t="shared" si="308"/>
        <v>0</v>
      </c>
      <c r="W263" s="128">
        <f t="shared" si="247"/>
        <v>0</v>
      </c>
      <c r="X263" t="str">
        <f t="shared" si="244"/>
        <v>225,54</v>
      </c>
      <c r="Y263" s="151">
        <f t="shared" si="245"/>
        <v>0.11338536721568912</v>
      </c>
      <c r="Z263" s="151">
        <f t="shared" si="246"/>
        <v>0.7915405697979992</v>
      </c>
    </row>
    <row r="264" spans="1:26" ht="12.75">
      <c r="A264" s="141">
        <f>+'SMAW-SMAW'!A264</f>
        <v>247</v>
      </c>
      <c r="B264" s="142">
        <v>22</v>
      </c>
      <c r="C264" s="143">
        <f t="shared" si="294"/>
        <v>558.8</v>
      </c>
      <c r="D264" s="143">
        <v>6.35</v>
      </c>
      <c r="E264" s="144" t="s">
        <v>97</v>
      </c>
      <c r="F264" s="145">
        <f t="shared" si="295"/>
        <v>2</v>
      </c>
      <c r="G264" s="145">
        <f aca="true" t="shared" si="309" ref="G264:G295">IF(D264&lt;2,D264,2)</f>
        <v>2</v>
      </c>
      <c r="H264" s="145">
        <f t="shared" si="296"/>
        <v>2</v>
      </c>
      <c r="I264" s="146">
        <f t="shared" si="297"/>
        <v>3.337872397708477</v>
      </c>
      <c r="J264" s="147"/>
      <c r="K264" s="145">
        <f t="shared" si="298"/>
        <v>0</v>
      </c>
      <c r="L264" s="145">
        <f t="shared" si="299"/>
        <v>6</v>
      </c>
      <c r="M264" s="145">
        <f t="shared" si="300"/>
        <v>8.7</v>
      </c>
      <c r="N264" s="145">
        <f t="shared" si="301"/>
        <v>14.519744930031875</v>
      </c>
      <c r="O264" s="145">
        <f t="shared" si="302"/>
        <v>0</v>
      </c>
      <c r="P264" s="145">
        <f t="shared" si="303"/>
        <v>27.351489590833907</v>
      </c>
      <c r="Q264" s="147">
        <f t="shared" si="304"/>
        <v>50.57123452086578</v>
      </c>
      <c r="R264" s="147"/>
      <c r="S264" s="128">
        <f t="shared" si="305"/>
        <v>0.11305243693422498</v>
      </c>
      <c r="T264" s="128">
        <f t="shared" si="306"/>
        <v>0.962437124482207</v>
      </c>
      <c r="U264" s="145">
        <f t="shared" si="307"/>
        <v>0</v>
      </c>
      <c r="V264" s="145">
        <f t="shared" si="308"/>
        <v>0</v>
      </c>
      <c r="W264" s="128">
        <f t="shared" si="247"/>
        <v>0</v>
      </c>
      <c r="X264" t="str">
        <f t="shared" si="244"/>
        <v>226,35</v>
      </c>
      <c r="Y264" s="151">
        <f t="shared" si="245"/>
        <v>0.11305243693422498</v>
      </c>
      <c r="Z264" s="151">
        <f t="shared" si="246"/>
        <v>0.962437124482207</v>
      </c>
    </row>
    <row r="265" spans="1:26" ht="12.75">
      <c r="A265" s="141">
        <f>+'SMAW-SMAW'!A265</f>
        <v>248</v>
      </c>
      <c r="B265" s="142">
        <v>22</v>
      </c>
      <c r="C265" s="143">
        <f t="shared" si="294"/>
        <v>558.8</v>
      </c>
      <c r="D265" s="143">
        <v>9.52</v>
      </c>
      <c r="E265" s="144" t="s">
        <v>92</v>
      </c>
      <c r="F265" s="145">
        <f t="shared" si="295"/>
        <v>2</v>
      </c>
      <c r="G265" s="145">
        <f t="shared" si="309"/>
        <v>2</v>
      </c>
      <c r="H265" s="145">
        <f t="shared" si="296"/>
        <v>2</v>
      </c>
      <c r="I265" s="146">
        <f t="shared" si="297"/>
        <v>5.770298949601782</v>
      </c>
      <c r="J265" s="147"/>
      <c r="K265" s="145">
        <f t="shared" si="298"/>
        <v>0</v>
      </c>
      <c r="L265" s="145">
        <f t="shared" si="299"/>
        <v>6</v>
      </c>
      <c r="M265" s="145">
        <f t="shared" si="300"/>
        <v>15.04</v>
      </c>
      <c r="N265" s="145">
        <f t="shared" si="301"/>
        <v>43.39264810100539</v>
      </c>
      <c r="O265" s="145">
        <f t="shared" si="302"/>
        <v>0</v>
      </c>
      <c r="P265" s="145">
        <f t="shared" si="303"/>
        <v>37.08119579840712</v>
      </c>
      <c r="Q265" s="147">
        <f t="shared" si="304"/>
        <v>95.5138438994125</v>
      </c>
      <c r="R265" s="147"/>
      <c r="S265" s="128">
        <f t="shared" si="305"/>
        <v>0.11174948756108743</v>
      </c>
      <c r="T265" s="128">
        <f t="shared" si="306"/>
        <v>1.812568703189949</v>
      </c>
      <c r="U265" s="145">
        <f t="shared" si="307"/>
        <v>0</v>
      </c>
      <c r="V265" s="145">
        <f t="shared" si="308"/>
        <v>0</v>
      </c>
      <c r="W265" s="128">
        <f t="shared" si="247"/>
        <v>0</v>
      </c>
      <c r="X265" t="str">
        <f t="shared" si="244"/>
        <v>229,52</v>
      </c>
      <c r="Y265" s="151">
        <f t="shared" si="245"/>
        <v>0.11174948756108743</v>
      </c>
      <c r="Z265" s="151">
        <f t="shared" si="246"/>
        <v>1.812568703189949</v>
      </c>
    </row>
    <row r="266" spans="1:26" ht="12.75">
      <c r="A266" s="141">
        <f>+'SMAW-SMAW'!A266</f>
        <v>249</v>
      </c>
      <c r="B266" s="142">
        <v>22</v>
      </c>
      <c r="C266" s="143">
        <f t="shared" si="294"/>
        <v>558.8</v>
      </c>
      <c r="D266" s="143">
        <v>9.52</v>
      </c>
      <c r="E266" s="144" t="s">
        <v>86</v>
      </c>
      <c r="F266" s="145">
        <f t="shared" si="295"/>
        <v>2</v>
      </c>
      <c r="G266" s="145">
        <f t="shared" si="309"/>
        <v>2</v>
      </c>
      <c r="H266" s="145">
        <f t="shared" si="296"/>
        <v>2</v>
      </c>
      <c r="I266" s="146">
        <f t="shared" si="297"/>
        <v>5.770298949601782</v>
      </c>
      <c r="J266" s="147"/>
      <c r="K266" s="145">
        <f t="shared" si="298"/>
        <v>0</v>
      </c>
      <c r="L266" s="145">
        <f t="shared" si="299"/>
        <v>6</v>
      </c>
      <c r="M266" s="145">
        <f t="shared" si="300"/>
        <v>15.04</v>
      </c>
      <c r="N266" s="145">
        <f t="shared" si="301"/>
        <v>43.39264810100539</v>
      </c>
      <c r="O266" s="145">
        <f t="shared" si="302"/>
        <v>0</v>
      </c>
      <c r="P266" s="145">
        <f t="shared" si="303"/>
        <v>37.08119579840712</v>
      </c>
      <c r="Q266" s="147">
        <f t="shared" si="304"/>
        <v>95.5138438994125</v>
      </c>
      <c r="R266" s="147"/>
      <c r="S266" s="128">
        <f t="shared" si="305"/>
        <v>0.11174948756108743</v>
      </c>
      <c r="T266" s="128">
        <f t="shared" si="306"/>
        <v>1.812568703189949</v>
      </c>
      <c r="U266" s="145">
        <f t="shared" si="307"/>
        <v>0</v>
      </c>
      <c r="V266" s="145">
        <f t="shared" si="308"/>
        <v>0</v>
      </c>
      <c r="W266" s="128">
        <f t="shared" si="247"/>
        <v>0</v>
      </c>
      <c r="X266" t="str">
        <f aca="true" t="shared" si="310" ref="X266:X329">+CONCATENATE(B266,D266)</f>
        <v>229,52</v>
      </c>
      <c r="Y266" s="151">
        <f aca="true" t="shared" si="311" ref="Y266:Y329">+S266</f>
        <v>0.11174948756108743</v>
      </c>
      <c r="Z266" s="151">
        <f aca="true" t="shared" si="312" ref="Z266:Z329">+T266</f>
        <v>1.812568703189949</v>
      </c>
    </row>
    <row r="267" spans="1:26" ht="12.75">
      <c r="A267" s="141">
        <f>+'SMAW-SMAW'!A267</f>
        <v>250</v>
      </c>
      <c r="B267" s="142">
        <v>22</v>
      </c>
      <c r="C267" s="143">
        <f t="shared" si="294"/>
        <v>558.8</v>
      </c>
      <c r="D267" s="143">
        <v>12.7</v>
      </c>
      <c r="E267" s="144" t="s">
        <v>93</v>
      </c>
      <c r="F267" s="145">
        <f t="shared" si="295"/>
        <v>2</v>
      </c>
      <c r="G267" s="145">
        <f t="shared" si="309"/>
        <v>2</v>
      </c>
      <c r="H267" s="145">
        <f t="shared" si="296"/>
        <v>2</v>
      </c>
      <c r="I267" s="146">
        <f t="shared" si="297"/>
        <v>8.210398771374875</v>
      </c>
      <c r="J267" s="147"/>
      <c r="K267" s="145">
        <f t="shared" si="298"/>
        <v>0</v>
      </c>
      <c r="L267" s="145">
        <f t="shared" si="299"/>
        <v>6</v>
      </c>
      <c r="M267" s="145">
        <f t="shared" si="300"/>
        <v>21.4</v>
      </c>
      <c r="N267" s="145">
        <f t="shared" si="301"/>
        <v>87.85126685371115</v>
      </c>
      <c r="O267" s="145">
        <f t="shared" si="302"/>
        <v>0</v>
      </c>
      <c r="P267" s="145">
        <f t="shared" si="303"/>
        <v>46.8415950854995</v>
      </c>
      <c r="Q267" s="147">
        <f t="shared" si="304"/>
        <v>156.09286193921065</v>
      </c>
      <c r="R267" s="147"/>
      <c r="S267" s="128">
        <f t="shared" si="305"/>
        <v>0.11044242793756139</v>
      </c>
      <c r="T267" s="128">
        <f t="shared" si="306"/>
        <v>2.9536773613282636</v>
      </c>
      <c r="U267" s="145">
        <f t="shared" si="307"/>
        <v>0</v>
      </c>
      <c r="V267" s="145">
        <f t="shared" si="308"/>
        <v>0</v>
      </c>
      <c r="W267" s="128">
        <f t="shared" si="247"/>
        <v>0</v>
      </c>
      <c r="X267" t="str">
        <f t="shared" si="310"/>
        <v>2212,7</v>
      </c>
      <c r="Y267" s="151">
        <f t="shared" si="311"/>
        <v>0.11044242793756139</v>
      </c>
      <c r="Z267" s="151">
        <f t="shared" si="312"/>
        <v>2.9536773613282636</v>
      </c>
    </row>
    <row r="268" spans="1:26" ht="12.75">
      <c r="A268" s="141">
        <f>+'SMAW-SMAW'!A268</f>
        <v>251</v>
      </c>
      <c r="B268" s="142">
        <v>22</v>
      </c>
      <c r="C268" s="143">
        <f t="shared" si="294"/>
        <v>558.8</v>
      </c>
      <c r="D268" s="143">
        <v>12.7</v>
      </c>
      <c r="E268" s="144" t="s">
        <v>82</v>
      </c>
      <c r="F268" s="145">
        <f t="shared" si="295"/>
        <v>2</v>
      </c>
      <c r="G268" s="145">
        <f t="shared" si="309"/>
        <v>2</v>
      </c>
      <c r="H268" s="145">
        <f t="shared" si="296"/>
        <v>2</v>
      </c>
      <c r="I268" s="146">
        <f t="shared" si="297"/>
        <v>8.210398771374875</v>
      </c>
      <c r="J268" s="147"/>
      <c r="K268" s="145">
        <f t="shared" si="298"/>
        <v>0</v>
      </c>
      <c r="L268" s="145">
        <f t="shared" si="299"/>
        <v>6</v>
      </c>
      <c r="M268" s="145">
        <f t="shared" si="300"/>
        <v>21.4</v>
      </c>
      <c r="N268" s="145">
        <f t="shared" si="301"/>
        <v>87.85126685371115</v>
      </c>
      <c r="O268" s="145">
        <f t="shared" si="302"/>
        <v>0</v>
      </c>
      <c r="P268" s="145">
        <f t="shared" si="303"/>
        <v>46.8415950854995</v>
      </c>
      <c r="Q268" s="147">
        <f t="shared" si="304"/>
        <v>156.09286193921065</v>
      </c>
      <c r="R268" s="147"/>
      <c r="S268" s="128">
        <f t="shared" si="305"/>
        <v>0.11044242793756139</v>
      </c>
      <c r="T268" s="128">
        <f t="shared" si="306"/>
        <v>2.9536773613282636</v>
      </c>
      <c r="U268" s="145">
        <f t="shared" si="307"/>
        <v>0</v>
      </c>
      <c r="V268" s="145">
        <f t="shared" si="308"/>
        <v>0</v>
      </c>
      <c r="W268" s="128">
        <f t="shared" si="247"/>
        <v>0</v>
      </c>
      <c r="X268" t="str">
        <f t="shared" si="310"/>
        <v>2212,7</v>
      </c>
      <c r="Y268" s="151">
        <f t="shared" si="311"/>
        <v>0.11044242793756139</v>
      </c>
      <c r="Z268" s="151">
        <f t="shared" si="312"/>
        <v>2.9536773613282636</v>
      </c>
    </row>
    <row r="269" spans="1:26" ht="12.75">
      <c r="A269" s="141">
        <f>+'SMAW-SMAW'!A269</f>
        <v>252</v>
      </c>
      <c r="B269" s="142">
        <v>22</v>
      </c>
      <c r="C269" s="143">
        <f t="shared" si="294"/>
        <v>558.8</v>
      </c>
      <c r="D269" s="143">
        <v>15.88</v>
      </c>
      <c r="E269" s="144" t="s">
        <v>87</v>
      </c>
      <c r="F269" s="145">
        <f t="shared" si="295"/>
        <v>2</v>
      </c>
      <c r="G269" s="145">
        <f t="shared" si="309"/>
        <v>2</v>
      </c>
      <c r="H269" s="145">
        <f t="shared" si="296"/>
        <v>2</v>
      </c>
      <c r="I269" s="146">
        <f t="shared" si="297"/>
        <v>10.65049859314797</v>
      </c>
      <c r="J269" s="147"/>
      <c r="K269" s="145">
        <f t="shared" si="298"/>
        <v>0</v>
      </c>
      <c r="L269" s="145">
        <f t="shared" si="299"/>
        <v>6</v>
      </c>
      <c r="M269" s="145">
        <f t="shared" si="300"/>
        <v>27.76</v>
      </c>
      <c r="N269" s="145">
        <f t="shared" si="301"/>
        <v>147.82892047289383</v>
      </c>
      <c r="O269" s="145">
        <f t="shared" si="302"/>
        <v>0</v>
      </c>
      <c r="P269" s="145">
        <f t="shared" si="303"/>
        <v>56.60199437259188</v>
      </c>
      <c r="Q269" s="147">
        <f t="shared" si="304"/>
        <v>232.1909148454857</v>
      </c>
      <c r="R269" s="147"/>
      <c r="S269" s="128">
        <f t="shared" si="305"/>
        <v>0.10913536831403534</v>
      </c>
      <c r="T269" s="128">
        <f t="shared" si="306"/>
        <v>4.3810024239318155</v>
      </c>
      <c r="U269" s="145">
        <f t="shared" si="307"/>
        <v>0</v>
      </c>
      <c r="V269" s="145">
        <f t="shared" si="308"/>
        <v>0</v>
      </c>
      <c r="W269" s="128">
        <f t="shared" si="247"/>
        <v>0</v>
      </c>
      <c r="X269" t="str">
        <f t="shared" si="310"/>
        <v>2215,88</v>
      </c>
      <c r="Y269" s="151">
        <f t="shared" si="311"/>
        <v>0.10913536831403534</v>
      </c>
      <c r="Z269" s="151">
        <f t="shared" si="312"/>
        <v>4.3810024239318155</v>
      </c>
    </row>
    <row r="270" spans="1:26" ht="12.75">
      <c r="A270" s="141">
        <f>+'SMAW-SMAW'!A270</f>
        <v>253</v>
      </c>
      <c r="B270" s="142">
        <v>22</v>
      </c>
      <c r="C270" s="143">
        <f t="shared" si="294"/>
        <v>558.8</v>
      </c>
      <c r="D270" s="143">
        <v>22.22</v>
      </c>
      <c r="E270" s="144" t="s">
        <v>94</v>
      </c>
      <c r="F270" s="145">
        <f t="shared" si="295"/>
        <v>2</v>
      </c>
      <c r="G270" s="145">
        <f t="shared" si="309"/>
        <v>2</v>
      </c>
      <c r="H270" s="145">
        <f t="shared" si="296"/>
        <v>3</v>
      </c>
      <c r="I270" s="146">
        <f t="shared" si="297"/>
        <v>13.044558795642326</v>
      </c>
      <c r="J270" s="147"/>
      <c r="K270" s="145">
        <f t="shared" si="298"/>
        <v>0.567772877881257</v>
      </c>
      <c r="L270" s="145">
        <f t="shared" si="299"/>
        <v>6</v>
      </c>
      <c r="M270" s="145">
        <f t="shared" si="300"/>
        <v>40.44</v>
      </c>
      <c r="N270" s="145">
        <f t="shared" si="301"/>
        <v>221.75749952591954</v>
      </c>
      <c r="O270" s="145">
        <f t="shared" si="302"/>
        <v>85.83518731071419</v>
      </c>
      <c r="P270" s="145">
        <f t="shared" si="303"/>
        <v>102.67399004114151</v>
      </c>
      <c r="Q270" s="147">
        <f t="shared" si="304"/>
        <v>450.70667687777524</v>
      </c>
      <c r="R270" s="147"/>
      <c r="S270" s="128">
        <f t="shared" si="305"/>
        <v>0.10652946956776015</v>
      </c>
      <c r="T270" s="128">
        <f t="shared" si="306"/>
        <v>8.45504330494441</v>
      </c>
      <c r="U270" s="145">
        <f t="shared" si="307"/>
        <v>0</v>
      </c>
      <c r="V270" s="145">
        <f t="shared" si="308"/>
        <v>0</v>
      </c>
      <c r="W270" s="128">
        <f t="shared" si="247"/>
        <v>0</v>
      </c>
      <c r="X270" t="str">
        <f t="shared" si="310"/>
        <v>2222,22</v>
      </c>
      <c r="Y270" s="151">
        <f t="shared" si="311"/>
        <v>0.10652946956776015</v>
      </c>
      <c r="Z270" s="151">
        <f t="shared" si="312"/>
        <v>8.45504330494441</v>
      </c>
    </row>
    <row r="271" spans="1:26" ht="12.75">
      <c r="A271" s="141">
        <f>+'SMAW-SMAW'!A271</f>
        <v>254</v>
      </c>
      <c r="B271" s="142">
        <v>22</v>
      </c>
      <c r="C271" s="143">
        <f t="shared" si="294"/>
        <v>558.8</v>
      </c>
      <c r="D271" s="143">
        <v>28.58</v>
      </c>
      <c r="E271" s="144" t="s">
        <v>89</v>
      </c>
      <c r="F271" s="145">
        <f t="shared" si="295"/>
        <v>2</v>
      </c>
      <c r="G271" s="145">
        <f t="shared" si="309"/>
        <v>2</v>
      </c>
      <c r="H271" s="145">
        <f t="shared" si="296"/>
        <v>3</v>
      </c>
      <c r="I271" s="146">
        <f t="shared" si="297"/>
        <v>13.044558795642326</v>
      </c>
      <c r="J271" s="147"/>
      <c r="K271" s="145">
        <f t="shared" si="298"/>
        <v>1.689212475187094</v>
      </c>
      <c r="L271" s="145">
        <f t="shared" si="299"/>
        <v>6</v>
      </c>
      <c r="M271" s="145">
        <f t="shared" si="300"/>
        <v>53.16</v>
      </c>
      <c r="N271" s="145">
        <f t="shared" si="301"/>
        <v>221.75749952591954</v>
      </c>
      <c r="O271" s="145">
        <f t="shared" si="302"/>
        <v>266.1164020367993</v>
      </c>
      <c r="P271" s="145">
        <f t="shared" si="303"/>
        <v>109.40262762497653</v>
      </c>
      <c r="Q271" s="147">
        <f t="shared" si="304"/>
        <v>650.4365291876953</v>
      </c>
      <c r="R271" s="147"/>
      <c r="S271" s="128">
        <f t="shared" si="305"/>
        <v>0.10391535032070809</v>
      </c>
      <c r="T271" s="128">
        <f t="shared" si="306"/>
        <v>12.13103391085258</v>
      </c>
      <c r="U271" s="145">
        <f t="shared" si="307"/>
        <v>0</v>
      </c>
      <c r="V271" s="145">
        <f t="shared" si="308"/>
        <v>0</v>
      </c>
      <c r="W271" s="128">
        <f t="shared" si="247"/>
        <v>0</v>
      </c>
      <c r="X271" t="str">
        <f t="shared" si="310"/>
        <v>2228,58</v>
      </c>
      <c r="Y271" s="151">
        <f t="shared" si="311"/>
        <v>0.10391535032070809</v>
      </c>
      <c r="Z271" s="151">
        <f t="shared" si="312"/>
        <v>12.13103391085258</v>
      </c>
    </row>
    <row r="272" spans="1:26" ht="12.75">
      <c r="A272" s="141">
        <f>+'SMAW-SMAW'!A272</f>
        <v>255</v>
      </c>
      <c r="B272" s="142">
        <v>22</v>
      </c>
      <c r="C272" s="143">
        <f t="shared" si="294"/>
        <v>558.8</v>
      </c>
      <c r="D272" s="143">
        <v>34.92</v>
      </c>
      <c r="E272" s="144" t="s">
        <v>95</v>
      </c>
      <c r="F272" s="145">
        <f t="shared" si="295"/>
        <v>2</v>
      </c>
      <c r="G272" s="145">
        <f t="shared" si="309"/>
        <v>2</v>
      </c>
      <c r="H272" s="145">
        <f t="shared" si="296"/>
        <v>3</v>
      </c>
      <c r="I272" s="146">
        <f t="shared" si="297"/>
        <v>13.044558795642326</v>
      </c>
      <c r="J272" s="147"/>
      <c r="K272" s="145">
        <f t="shared" si="298"/>
        <v>2.8071255328787625</v>
      </c>
      <c r="L272" s="145">
        <f t="shared" si="299"/>
        <v>6</v>
      </c>
      <c r="M272" s="145">
        <f t="shared" si="300"/>
        <v>65.84</v>
      </c>
      <c r="N272" s="145">
        <f t="shared" si="301"/>
        <v>221.75749952591954</v>
      </c>
      <c r="O272" s="145">
        <f t="shared" si="302"/>
        <v>460.0281905366816</v>
      </c>
      <c r="P272" s="145">
        <f t="shared" si="303"/>
        <v>116.11010597112653</v>
      </c>
      <c r="Q272" s="147">
        <f t="shared" si="304"/>
        <v>863.7357960337276</v>
      </c>
      <c r="R272" s="147"/>
      <c r="S272" s="128">
        <f t="shared" si="305"/>
        <v>0.1013094515744329</v>
      </c>
      <c r="T272" s="128">
        <f t="shared" si="306"/>
        <v>16.01541032960104</v>
      </c>
      <c r="U272" s="145">
        <f t="shared" si="307"/>
        <v>0</v>
      </c>
      <c r="V272" s="145">
        <f t="shared" si="308"/>
        <v>0</v>
      </c>
      <c r="W272" s="128">
        <f t="shared" si="247"/>
        <v>0</v>
      </c>
      <c r="X272" t="str">
        <f t="shared" si="310"/>
        <v>2234,92</v>
      </c>
      <c r="Y272" s="151">
        <f t="shared" si="311"/>
        <v>0.1013094515744329</v>
      </c>
      <c r="Z272" s="151">
        <f t="shared" si="312"/>
        <v>16.01541032960104</v>
      </c>
    </row>
    <row r="273" spans="1:26" ht="12.75">
      <c r="A273" s="141">
        <f>+'SMAW-SMAW'!A273</f>
        <v>256</v>
      </c>
      <c r="B273" s="142">
        <v>22</v>
      </c>
      <c r="C273" s="143">
        <f t="shared" si="294"/>
        <v>558.8</v>
      </c>
      <c r="D273" s="143">
        <v>41.28</v>
      </c>
      <c r="E273" s="144" t="s">
        <v>91</v>
      </c>
      <c r="F273" s="145">
        <f t="shared" si="295"/>
        <v>2</v>
      </c>
      <c r="G273" s="145">
        <f t="shared" si="309"/>
        <v>2</v>
      </c>
      <c r="H273" s="145">
        <f t="shared" si="296"/>
        <v>3</v>
      </c>
      <c r="I273" s="146">
        <f t="shared" si="297"/>
        <v>13.044558795642326</v>
      </c>
      <c r="J273" s="147"/>
      <c r="K273" s="145">
        <f t="shared" si="298"/>
        <v>3.9285651301846</v>
      </c>
      <c r="L273" s="145">
        <f t="shared" si="299"/>
        <v>6</v>
      </c>
      <c r="M273" s="145">
        <f t="shared" si="300"/>
        <v>78.56</v>
      </c>
      <c r="N273" s="145">
        <f t="shared" si="301"/>
        <v>221.75749952591954</v>
      </c>
      <c r="O273" s="145">
        <f t="shared" si="302"/>
        <v>668.793971034335</v>
      </c>
      <c r="P273" s="145">
        <f t="shared" si="303"/>
        <v>122.83874355496155</v>
      </c>
      <c r="Q273" s="147">
        <f t="shared" si="304"/>
        <v>1091.950214115216</v>
      </c>
      <c r="R273" s="147"/>
      <c r="S273" s="128">
        <f t="shared" si="305"/>
        <v>0.09869533232738086</v>
      </c>
      <c r="T273" s="128">
        <f t="shared" si="306"/>
        <v>20.128030667985044</v>
      </c>
      <c r="U273" s="145">
        <f t="shared" si="307"/>
        <v>0</v>
      </c>
      <c r="V273" s="145">
        <f t="shared" si="308"/>
        <v>0</v>
      </c>
      <c r="W273" s="128">
        <f t="shared" si="247"/>
        <v>0</v>
      </c>
      <c r="X273" t="str">
        <f t="shared" si="310"/>
        <v>2241,28</v>
      </c>
      <c r="Y273" s="151">
        <f t="shared" si="311"/>
        <v>0.09869533232738086</v>
      </c>
      <c r="Z273" s="151">
        <f t="shared" si="312"/>
        <v>20.128030667985044</v>
      </c>
    </row>
    <row r="274" spans="1:26" ht="12.75">
      <c r="A274" s="141">
        <f>+'SMAW-SMAW'!A274</f>
        <v>257</v>
      </c>
      <c r="B274" s="142">
        <v>22</v>
      </c>
      <c r="C274" s="143">
        <f t="shared" si="294"/>
        <v>558.8</v>
      </c>
      <c r="D274" s="143">
        <v>47.62</v>
      </c>
      <c r="E274" s="144" t="s">
        <v>96</v>
      </c>
      <c r="F274" s="145">
        <f t="shared" si="295"/>
        <v>2</v>
      </c>
      <c r="G274" s="145">
        <f t="shared" si="309"/>
        <v>2</v>
      </c>
      <c r="H274" s="145">
        <f t="shared" si="296"/>
        <v>3</v>
      </c>
      <c r="I274" s="146">
        <f t="shared" si="297"/>
        <v>13.044558795642326</v>
      </c>
      <c r="J274" s="147"/>
      <c r="K274" s="145">
        <f t="shared" si="298"/>
        <v>5.046478187876267</v>
      </c>
      <c r="L274" s="145">
        <f t="shared" si="299"/>
        <v>6</v>
      </c>
      <c r="M274" s="145">
        <f t="shared" si="300"/>
        <v>91.24</v>
      </c>
      <c r="N274" s="145">
        <f t="shared" si="301"/>
        <v>221.75749952591954</v>
      </c>
      <c r="O274" s="145">
        <f t="shared" si="302"/>
        <v>891.1007511995854</v>
      </c>
      <c r="P274" s="145">
        <f t="shared" si="303"/>
        <v>129.54622190111155</v>
      </c>
      <c r="Q274" s="147">
        <f t="shared" si="304"/>
        <v>1333.6444726266163</v>
      </c>
      <c r="R274" s="147"/>
      <c r="S274" s="128">
        <f t="shared" si="305"/>
        <v>0.09608943358110568</v>
      </c>
      <c r="T274" s="128">
        <f t="shared" si="306"/>
        <v>24.43839987177278</v>
      </c>
      <c r="U274" s="145">
        <f t="shared" si="307"/>
        <v>0</v>
      </c>
      <c r="V274" s="145">
        <f t="shared" si="308"/>
        <v>0</v>
      </c>
      <c r="W274" s="128">
        <f aca="true" t="shared" si="313" ref="W274:W323">SUM(U274:V274)</f>
        <v>0</v>
      </c>
      <c r="X274" t="str">
        <f t="shared" si="310"/>
        <v>2247,62</v>
      </c>
      <c r="Y274" s="151">
        <f t="shared" si="311"/>
        <v>0.09608943358110568</v>
      </c>
      <c r="Z274" s="151">
        <f t="shared" si="312"/>
        <v>24.43839987177278</v>
      </c>
    </row>
    <row r="275" spans="1:26" ht="12.75">
      <c r="A275" s="141">
        <f>+'SMAW-SMAW'!A275</f>
        <v>258</v>
      </c>
      <c r="B275" s="142">
        <v>22</v>
      </c>
      <c r="C275" s="143">
        <f t="shared" si="294"/>
        <v>558.8</v>
      </c>
      <c r="D275" s="143">
        <v>53.98</v>
      </c>
      <c r="E275" s="144" t="s">
        <v>90</v>
      </c>
      <c r="F275" s="145">
        <f t="shared" si="295"/>
        <v>2</v>
      </c>
      <c r="G275" s="145">
        <f t="shared" si="309"/>
        <v>2</v>
      </c>
      <c r="H275" s="145">
        <f t="shared" si="296"/>
        <v>3</v>
      </c>
      <c r="I275" s="146">
        <f t="shared" si="297"/>
        <v>13.044558795642326</v>
      </c>
      <c r="J275" s="147"/>
      <c r="K275" s="145">
        <f t="shared" si="298"/>
        <v>6.167917785182104</v>
      </c>
      <c r="L275" s="145">
        <f t="shared" si="299"/>
        <v>6</v>
      </c>
      <c r="M275" s="145">
        <f t="shared" si="300"/>
        <v>103.96</v>
      </c>
      <c r="N275" s="145">
        <f t="shared" si="301"/>
        <v>221.75749952591954</v>
      </c>
      <c r="O275" s="145">
        <f t="shared" si="302"/>
        <v>1128.351097468807</v>
      </c>
      <c r="P275" s="145">
        <f t="shared" si="303"/>
        <v>136.27485948494657</v>
      </c>
      <c r="Q275" s="147">
        <f t="shared" si="304"/>
        <v>1590.343456479673</v>
      </c>
      <c r="R275" s="147"/>
      <c r="S275" s="128">
        <f t="shared" si="305"/>
        <v>0.09347531433405362</v>
      </c>
      <c r="T275" s="128">
        <f t="shared" si="306"/>
        <v>28.969063699400138</v>
      </c>
      <c r="U275" s="145">
        <f t="shared" si="307"/>
        <v>0</v>
      </c>
      <c r="V275" s="145">
        <f t="shared" si="308"/>
        <v>0</v>
      </c>
      <c r="W275" s="128">
        <f t="shared" si="313"/>
        <v>0</v>
      </c>
      <c r="X275" t="str">
        <f t="shared" si="310"/>
        <v>2253,98</v>
      </c>
      <c r="Y275" s="151">
        <f t="shared" si="311"/>
        <v>0.09347531433405362</v>
      </c>
      <c r="Z275" s="151">
        <f t="shared" si="312"/>
        <v>28.969063699400138</v>
      </c>
    </row>
    <row r="276" spans="1:26" ht="12.75">
      <c r="A276" s="141">
        <f>+'SMAW-SMAW'!A276</f>
        <v>259</v>
      </c>
      <c r="B276" s="142"/>
      <c r="C276" s="143"/>
      <c r="D276" s="143"/>
      <c r="E276" s="144"/>
      <c r="F276" s="145"/>
      <c r="G276" s="145">
        <f t="shared" si="309"/>
        <v>0</v>
      </c>
      <c r="H276" s="145"/>
      <c r="I276" s="146"/>
      <c r="J276" s="147"/>
      <c r="K276" s="145"/>
      <c r="L276" s="145"/>
      <c r="M276" s="145"/>
      <c r="N276" s="145"/>
      <c r="O276" s="145"/>
      <c r="P276" s="145"/>
      <c r="Q276" s="147"/>
      <c r="R276" s="147"/>
      <c r="S276" s="128"/>
      <c r="T276" s="128"/>
      <c r="U276" s="145"/>
      <c r="V276" s="145"/>
      <c r="W276" s="128">
        <f t="shared" si="313"/>
        <v>0</v>
      </c>
      <c r="X276">
        <f t="shared" si="310"/>
      </c>
      <c r="Y276" s="151">
        <f t="shared" si="311"/>
        <v>0</v>
      </c>
      <c r="Z276" s="151">
        <f t="shared" si="312"/>
        <v>0</v>
      </c>
    </row>
    <row r="277" spans="1:26" ht="12.75">
      <c r="A277" s="141">
        <f>+'SMAW-SMAW'!A277</f>
        <v>260</v>
      </c>
      <c r="B277" s="142">
        <v>24</v>
      </c>
      <c r="C277" s="143">
        <f aca="true" t="shared" si="314" ref="C277:C290">25.4*B277</f>
        <v>609.5999999999999</v>
      </c>
      <c r="D277" s="143">
        <v>5.54</v>
      </c>
      <c r="E277" s="144" t="s">
        <v>81</v>
      </c>
      <c r="F277" s="145">
        <f aca="true" t="shared" si="315" ref="F277:F290">IF($D$6=1,2,3)</f>
        <v>2</v>
      </c>
      <c r="G277" s="145">
        <f t="shared" si="309"/>
        <v>2</v>
      </c>
      <c r="H277" s="145">
        <f aca="true" t="shared" si="316" ref="H277:H290">IF(D277&lt;=19,2,3)</f>
        <v>2</v>
      </c>
      <c r="I277" s="146">
        <f aca="true" t="shared" si="317" ref="I277:I290">IF(D277&lt;=19,(D277-G277)*TAN($C$8*PI()/180),(19-G277)*TAN($C$8*PI()/180))</f>
        <v>2.71633753744552</v>
      </c>
      <c r="J277" s="147"/>
      <c r="K277" s="145">
        <f aca="true" t="shared" si="318" ref="K277:K290">IF(D277&lt;=19,0,(D277-19)*TAN($C$10*PI()/180))</f>
        <v>0</v>
      </c>
      <c r="L277" s="145">
        <f aca="true" t="shared" si="319" ref="L277:L290">+F277*(G277*1.5)</f>
        <v>6</v>
      </c>
      <c r="M277" s="145">
        <f aca="true" t="shared" si="320" ref="M277:M290">+F277*(D277-G277)</f>
        <v>7.08</v>
      </c>
      <c r="N277" s="145">
        <f aca="true" t="shared" si="321" ref="N277:N290">IF(D277&lt;=19,(D277-G277)*I277,(19-G277)*I277)</f>
        <v>9.61583488255714</v>
      </c>
      <c r="O277" s="145">
        <f aca="true" t="shared" si="322" ref="O277:O290">IF(D277&lt;=19,0,(I277*(D277-19)*2)+((K277)*(D277-19)))</f>
        <v>0</v>
      </c>
      <c r="P277" s="145">
        <f aca="true" t="shared" si="323" ref="P277:P290">+(5+F277+(2*(I277+K277)))*H277</f>
        <v>24.86535014978208</v>
      </c>
      <c r="Q277" s="147">
        <f aca="true" t="shared" si="324" ref="Q277:Q290">SUM(M277:P277)</f>
        <v>41.561185032339225</v>
      </c>
      <c r="R277" s="147"/>
      <c r="S277" s="128">
        <f aca="true" t="shared" si="325" ref="S277:S290">IF(D$6=1,(PI()*(C277-(2*D277)+(2*G277))*L277*0.1*0.01*7.85*0.001/(S$16*S$17)),0)</f>
        <v>0.12382540320234364</v>
      </c>
      <c r="T277" s="128">
        <f aca="true" t="shared" si="326" ref="T277:T290">IF(D$6=1,(PI()*(C277-(0.5*D277))*(Q277)*0.1*0.01*7.85*0.001/(T$16*T$17)),0)</f>
        <v>0.8638572810289373</v>
      </c>
      <c r="U277" s="145">
        <f aca="true" t="shared" si="327" ref="U277:U290">IF(D$6=1,0,(PI()*(C277-(2*D277)+(2*G277))*L277*0.1*0.01*7.85*0.001/(U$16*U$17)))</f>
        <v>0</v>
      </c>
      <c r="V277" s="145">
        <f aca="true" t="shared" si="328" ref="V277:V290">IF(D$6=1,0,(PI()*(C277-(0.5*D277))*(Q277)*0.1*0.01*7.85*0.001/(V$16*V$17)))</f>
        <v>0</v>
      </c>
      <c r="W277" s="128">
        <f t="shared" si="313"/>
        <v>0</v>
      </c>
      <c r="X277" t="str">
        <f t="shared" si="310"/>
        <v>245,54</v>
      </c>
      <c r="Y277" s="151">
        <f t="shared" si="311"/>
        <v>0.12382540320234364</v>
      </c>
      <c r="Z277" s="151">
        <f t="shared" si="312"/>
        <v>0.8638572810289373</v>
      </c>
    </row>
    <row r="278" spans="1:26" ht="12.75">
      <c r="A278" s="141">
        <f>+'SMAW-SMAW'!A278</f>
        <v>261</v>
      </c>
      <c r="B278" s="142">
        <v>24</v>
      </c>
      <c r="C278" s="143">
        <f t="shared" si="314"/>
        <v>609.5999999999999</v>
      </c>
      <c r="D278" s="143">
        <v>6.35</v>
      </c>
      <c r="E278" s="144" t="s">
        <v>84</v>
      </c>
      <c r="F278" s="145">
        <f t="shared" si="315"/>
        <v>2</v>
      </c>
      <c r="G278" s="145">
        <f t="shared" si="309"/>
        <v>2</v>
      </c>
      <c r="H278" s="145">
        <f t="shared" si="316"/>
        <v>2</v>
      </c>
      <c r="I278" s="146">
        <f t="shared" si="317"/>
        <v>3.337872397708477</v>
      </c>
      <c r="J278" s="147"/>
      <c r="K278" s="145">
        <f t="shared" si="318"/>
        <v>0</v>
      </c>
      <c r="L278" s="145">
        <f t="shared" si="319"/>
        <v>6</v>
      </c>
      <c r="M278" s="145">
        <f t="shared" si="320"/>
        <v>8.7</v>
      </c>
      <c r="N278" s="145">
        <f t="shared" si="321"/>
        <v>14.519744930031875</v>
      </c>
      <c r="O278" s="145">
        <f t="shared" si="322"/>
        <v>0</v>
      </c>
      <c r="P278" s="145">
        <f t="shared" si="323"/>
        <v>27.351489590833907</v>
      </c>
      <c r="Q278" s="147">
        <f t="shared" si="324"/>
        <v>50.57123452086578</v>
      </c>
      <c r="R278" s="147"/>
      <c r="S278" s="128">
        <f t="shared" si="325"/>
        <v>0.12349247292087943</v>
      </c>
      <c r="T278" s="128">
        <f t="shared" si="326"/>
        <v>1.0504313758634372</v>
      </c>
      <c r="U278" s="145">
        <f t="shared" si="327"/>
        <v>0</v>
      </c>
      <c r="V278" s="145">
        <f t="shared" si="328"/>
        <v>0</v>
      </c>
      <c r="W278" s="128">
        <f t="shared" si="313"/>
        <v>0</v>
      </c>
      <c r="X278" t="str">
        <f t="shared" si="310"/>
        <v>246,35</v>
      </c>
      <c r="Y278" s="151">
        <f t="shared" si="311"/>
        <v>0.12349247292087943</v>
      </c>
      <c r="Z278" s="151">
        <f t="shared" si="312"/>
        <v>1.0504313758634372</v>
      </c>
    </row>
    <row r="279" spans="1:26" ht="12.75">
      <c r="A279" s="141">
        <f>+'SMAW-SMAW'!A279</f>
        <v>262</v>
      </c>
      <c r="B279" s="142">
        <v>24</v>
      </c>
      <c r="C279" s="143">
        <f t="shared" si="314"/>
        <v>609.5999999999999</v>
      </c>
      <c r="D279" s="143">
        <v>6.35</v>
      </c>
      <c r="E279" s="144" t="s">
        <v>97</v>
      </c>
      <c r="F279" s="145">
        <f t="shared" si="315"/>
        <v>2</v>
      </c>
      <c r="G279" s="145">
        <f t="shared" si="309"/>
        <v>2</v>
      </c>
      <c r="H279" s="145">
        <f t="shared" si="316"/>
        <v>2</v>
      </c>
      <c r="I279" s="146">
        <f t="shared" si="317"/>
        <v>3.337872397708477</v>
      </c>
      <c r="J279" s="147"/>
      <c r="K279" s="145">
        <f t="shared" si="318"/>
        <v>0</v>
      </c>
      <c r="L279" s="145">
        <f t="shared" si="319"/>
        <v>6</v>
      </c>
      <c r="M279" s="145">
        <f t="shared" si="320"/>
        <v>8.7</v>
      </c>
      <c r="N279" s="145">
        <f t="shared" si="321"/>
        <v>14.519744930031875</v>
      </c>
      <c r="O279" s="145">
        <f t="shared" si="322"/>
        <v>0</v>
      </c>
      <c r="P279" s="145">
        <f t="shared" si="323"/>
        <v>27.351489590833907</v>
      </c>
      <c r="Q279" s="147">
        <f t="shared" si="324"/>
        <v>50.57123452086578</v>
      </c>
      <c r="R279" s="147"/>
      <c r="S279" s="128">
        <f t="shared" si="325"/>
        <v>0.12349247292087943</v>
      </c>
      <c r="T279" s="128">
        <f t="shared" si="326"/>
        <v>1.0504313758634372</v>
      </c>
      <c r="U279" s="145">
        <f t="shared" si="327"/>
        <v>0</v>
      </c>
      <c r="V279" s="145">
        <f t="shared" si="328"/>
        <v>0</v>
      </c>
      <c r="W279" s="128">
        <f t="shared" si="313"/>
        <v>0</v>
      </c>
      <c r="X279" t="str">
        <f t="shared" si="310"/>
        <v>246,35</v>
      </c>
      <c r="Y279" s="151">
        <f t="shared" si="311"/>
        <v>0.12349247292087943</v>
      </c>
      <c r="Z279" s="151">
        <f t="shared" si="312"/>
        <v>1.0504313758634372</v>
      </c>
    </row>
    <row r="280" spans="1:26" ht="12.75">
      <c r="A280" s="141">
        <f>+'SMAW-SMAW'!A280</f>
        <v>263</v>
      </c>
      <c r="B280" s="142">
        <v>24</v>
      </c>
      <c r="C280" s="143">
        <f t="shared" si="314"/>
        <v>609.5999999999999</v>
      </c>
      <c r="D280" s="143">
        <v>9.52</v>
      </c>
      <c r="E280" s="144" t="s">
        <v>92</v>
      </c>
      <c r="F280" s="145">
        <f t="shared" si="315"/>
        <v>2</v>
      </c>
      <c r="G280" s="145">
        <f t="shared" si="309"/>
        <v>2</v>
      </c>
      <c r="H280" s="145">
        <f t="shared" si="316"/>
        <v>2</v>
      </c>
      <c r="I280" s="146">
        <f t="shared" si="317"/>
        <v>5.770298949601782</v>
      </c>
      <c r="J280" s="147"/>
      <c r="K280" s="145">
        <f t="shared" si="318"/>
        <v>0</v>
      </c>
      <c r="L280" s="145">
        <f t="shared" si="319"/>
        <v>6</v>
      </c>
      <c r="M280" s="145">
        <f t="shared" si="320"/>
        <v>15.04</v>
      </c>
      <c r="N280" s="145">
        <f t="shared" si="321"/>
        <v>43.39264810100539</v>
      </c>
      <c r="O280" s="145">
        <f t="shared" si="322"/>
        <v>0</v>
      </c>
      <c r="P280" s="145">
        <f t="shared" si="323"/>
        <v>37.08119579840712</v>
      </c>
      <c r="Q280" s="147">
        <f t="shared" si="324"/>
        <v>95.5138438994125</v>
      </c>
      <c r="R280" s="147"/>
      <c r="S280" s="128">
        <f t="shared" si="325"/>
        <v>0.12218952354774185</v>
      </c>
      <c r="T280" s="128">
        <f t="shared" si="326"/>
        <v>1.9787633644455425</v>
      </c>
      <c r="U280" s="145">
        <f t="shared" si="327"/>
        <v>0</v>
      </c>
      <c r="V280" s="145">
        <f t="shared" si="328"/>
        <v>0</v>
      </c>
      <c r="W280" s="128">
        <f t="shared" si="313"/>
        <v>0</v>
      </c>
      <c r="X280" t="str">
        <f t="shared" si="310"/>
        <v>249,52</v>
      </c>
      <c r="Y280" s="151">
        <f t="shared" si="311"/>
        <v>0.12218952354774185</v>
      </c>
      <c r="Z280" s="151">
        <f t="shared" si="312"/>
        <v>1.9787633644455425</v>
      </c>
    </row>
    <row r="281" spans="1:26" ht="12.75">
      <c r="A281" s="141">
        <f>+'SMAW-SMAW'!A281</f>
        <v>264</v>
      </c>
      <c r="B281" s="142">
        <v>24</v>
      </c>
      <c r="C281" s="143">
        <f t="shared" si="314"/>
        <v>609.5999999999999</v>
      </c>
      <c r="D281" s="143">
        <v>9.52</v>
      </c>
      <c r="E281" s="144" t="s">
        <v>86</v>
      </c>
      <c r="F281" s="145">
        <f t="shared" si="315"/>
        <v>2</v>
      </c>
      <c r="G281" s="145">
        <f t="shared" si="309"/>
        <v>2</v>
      </c>
      <c r="H281" s="145">
        <f t="shared" si="316"/>
        <v>2</v>
      </c>
      <c r="I281" s="146">
        <f t="shared" si="317"/>
        <v>5.770298949601782</v>
      </c>
      <c r="J281" s="147"/>
      <c r="K281" s="145">
        <f t="shared" si="318"/>
        <v>0</v>
      </c>
      <c r="L281" s="145">
        <f t="shared" si="319"/>
        <v>6</v>
      </c>
      <c r="M281" s="145">
        <f t="shared" si="320"/>
        <v>15.04</v>
      </c>
      <c r="N281" s="145">
        <f t="shared" si="321"/>
        <v>43.39264810100539</v>
      </c>
      <c r="O281" s="145">
        <f t="shared" si="322"/>
        <v>0</v>
      </c>
      <c r="P281" s="145">
        <f t="shared" si="323"/>
        <v>37.08119579840712</v>
      </c>
      <c r="Q281" s="147">
        <f t="shared" si="324"/>
        <v>95.5138438994125</v>
      </c>
      <c r="R281" s="147"/>
      <c r="S281" s="128">
        <f t="shared" si="325"/>
        <v>0.12218952354774185</v>
      </c>
      <c r="T281" s="128">
        <f t="shared" si="326"/>
        <v>1.9787633644455425</v>
      </c>
      <c r="U281" s="145">
        <f t="shared" si="327"/>
        <v>0</v>
      </c>
      <c r="V281" s="145">
        <f t="shared" si="328"/>
        <v>0</v>
      </c>
      <c r="W281" s="128">
        <f t="shared" si="313"/>
        <v>0</v>
      </c>
      <c r="X281" t="str">
        <f t="shared" si="310"/>
        <v>249,52</v>
      </c>
      <c r="Y281" s="151">
        <f t="shared" si="311"/>
        <v>0.12218952354774185</v>
      </c>
      <c r="Z281" s="151">
        <f t="shared" si="312"/>
        <v>1.9787633644455425</v>
      </c>
    </row>
    <row r="282" spans="1:26" ht="12.75">
      <c r="A282" s="141">
        <f>+'SMAW-SMAW'!A282</f>
        <v>265</v>
      </c>
      <c r="B282" s="142">
        <v>24</v>
      </c>
      <c r="C282" s="143">
        <f t="shared" si="314"/>
        <v>609.5999999999999</v>
      </c>
      <c r="D282" s="143">
        <v>12.7</v>
      </c>
      <c r="E282" s="144" t="s">
        <v>82</v>
      </c>
      <c r="F282" s="145">
        <f t="shared" si="315"/>
        <v>2</v>
      </c>
      <c r="G282" s="145">
        <f t="shared" si="309"/>
        <v>2</v>
      </c>
      <c r="H282" s="145">
        <f t="shared" si="316"/>
        <v>2</v>
      </c>
      <c r="I282" s="146">
        <f t="shared" si="317"/>
        <v>8.210398771374875</v>
      </c>
      <c r="J282" s="147"/>
      <c r="K282" s="145">
        <f t="shared" si="318"/>
        <v>0</v>
      </c>
      <c r="L282" s="145">
        <f t="shared" si="319"/>
        <v>6</v>
      </c>
      <c r="M282" s="145">
        <f t="shared" si="320"/>
        <v>21.4</v>
      </c>
      <c r="N282" s="145">
        <f t="shared" si="321"/>
        <v>87.85126685371115</v>
      </c>
      <c r="O282" s="145">
        <f t="shared" si="322"/>
        <v>0</v>
      </c>
      <c r="P282" s="145">
        <f t="shared" si="323"/>
        <v>46.8415950854995</v>
      </c>
      <c r="Q282" s="147">
        <f t="shared" si="324"/>
        <v>156.09286193921065</v>
      </c>
      <c r="R282" s="147"/>
      <c r="S282" s="128">
        <f t="shared" si="325"/>
        <v>0.12088246392421582</v>
      </c>
      <c r="T282" s="128">
        <f t="shared" si="326"/>
        <v>3.2252798773124707</v>
      </c>
      <c r="U282" s="145">
        <f t="shared" si="327"/>
        <v>0</v>
      </c>
      <c r="V282" s="145">
        <f t="shared" si="328"/>
        <v>0</v>
      </c>
      <c r="W282" s="128">
        <f t="shared" si="313"/>
        <v>0</v>
      </c>
      <c r="X282" t="str">
        <f t="shared" si="310"/>
        <v>2412,7</v>
      </c>
      <c r="Y282" s="151">
        <f t="shared" si="311"/>
        <v>0.12088246392421582</v>
      </c>
      <c r="Z282" s="151">
        <f t="shared" si="312"/>
        <v>3.2252798773124707</v>
      </c>
    </row>
    <row r="283" spans="1:26" ht="12.75">
      <c r="A283" s="141">
        <f>+'SMAW-SMAW'!A283</f>
        <v>266</v>
      </c>
      <c r="B283" s="142">
        <v>24</v>
      </c>
      <c r="C283" s="143">
        <f t="shared" si="314"/>
        <v>609.5999999999999</v>
      </c>
      <c r="D283" s="143">
        <v>14.27</v>
      </c>
      <c r="E283" s="144" t="s">
        <v>93</v>
      </c>
      <c r="F283" s="145">
        <f t="shared" si="315"/>
        <v>2</v>
      </c>
      <c r="G283" s="145">
        <f t="shared" si="309"/>
        <v>2</v>
      </c>
      <c r="H283" s="145">
        <f t="shared" si="316"/>
        <v>2</v>
      </c>
      <c r="I283" s="146">
        <f t="shared" si="317"/>
        <v>9.415102142501844</v>
      </c>
      <c r="J283" s="147"/>
      <c r="K283" s="145">
        <f t="shared" si="318"/>
        <v>0</v>
      </c>
      <c r="L283" s="145">
        <f t="shared" si="319"/>
        <v>6</v>
      </c>
      <c r="M283" s="145">
        <f t="shared" si="320"/>
        <v>24.54</v>
      </c>
      <c r="N283" s="145">
        <f t="shared" si="321"/>
        <v>115.52330328849763</v>
      </c>
      <c r="O283" s="145">
        <f t="shared" si="322"/>
        <v>0</v>
      </c>
      <c r="P283" s="145">
        <f t="shared" si="323"/>
        <v>51.66040857000738</v>
      </c>
      <c r="Q283" s="147">
        <f t="shared" si="324"/>
        <v>191.723711858505</v>
      </c>
      <c r="R283" s="147"/>
      <c r="S283" s="128">
        <f t="shared" si="325"/>
        <v>0.1202371546132297</v>
      </c>
      <c r="T283" s="128">
        <f t="shared" si="326"/>
        <v>3.9563498058435327</v>
      </c>
      <c r="U283" s="145">
        <f t="shared" si="327"/>
        <v>0</v>
      </c>
      <c r="V283" s="145">
        <f t="shared" si="328"/>
        <v>0</v>
      </c>
      <c r="W283" s="128">
        <f t="shared" si="313"/>
        <v>0</v>
      </c>
      <c r="X283" t="str">
        <f t="shared" si="310"/>
        <v>2414,27</v>
      </c>
      <c r="Y283" s="151">
        <f t="shared" si="311"/>
        <v>0.1202371546132297</v>
      </c>
      <c r="Z283" s="151">
        <f t="shared" si="312"/>
        <v>3.9563498058435327</v>
      </c>
    </row>
    <row r="284" spans="1:26" ht="12.75">
      <c r="A284" s="141">
        <f>+'SMAW-SMAW'!A284</f>
        <v>267</v>
      </c>
      <c r="B284" s="142">
        <v>24</v>
      </c>
      <c r="C284" s="143">
        <f t="shared" si="314"/>
        <v>609.5999999999999</v>
      </c>
      <c r="D284" s="143">
        <v>17.48</v>
      </c>
      <c r="E284" s="144" t="s">
        <v>87</v>
      </c>
      <c r="F284" s="145">
        <f t="shared" si="315"/>
        <v>2</v>
      </c>
      <c r="G284" s="145">
        <f t="shared" si="309"/>
        <v>2</v>
      </c>
      <c r="H284" s="145">
        <f t="shared" si="316"/>
        <v>2</v>
      </c>
      <c r="I284" s="146">
        <f t="shared" si="317"/>
        <v>11.878221773914307</v>
      </c>
      <c r="J284" s="147"/>
      <c r="K284" s="145">
        <f t="shared" si="318"/>
        <v>0</v>
      </c>
      <c r="L284" s="145">
        <f t="shared" si="319"/>
        <v>6</v>
      </c>
      <c r="M284" s="145">
        <f t="shared" si="320"/>
        <v>30.96</v>
      </c>
      <c r="N284" s="145">
        <f t="shared" si="321"/>
        <v>183.87487306019347</v>
      </c>
      <c r="O284" s="145">
        <f t="shared" si="322"/>
        <v>0</v>
      </c>
      <c r="P284" s="145">
        <f t="shared" si="323"/>
        <v>61.51288709565723</v>
      </c>
      <c r="Q284" s="147">
        <f t="shared" si="324"/>
        <v>276.3477601558507</v>
      </c>
      <c r="R284" s="147"/>
      <c r="S284" s="128">
        <f t="shared" si="325"/>
        <v>0.11891776423853835</v>
      </c>
      <c r="T284" s="128">
        <f t="shared" si="326"/>
        <v>5.687432761802505</v>
      </c>
      <c r="U284" s="145">
        <f t="shared" si="327"/>
        <v>0</v>
      </c>
      <c r="V284" s="145">
        <f t="shared" si="328"/>
        <v>0</v>
      </c>
      <c r="W284" s="128">
        <f t="shared" si="313"/>
        <v>0</v>
      </c>
      <c r="X284" t="str">
        <f t="shared" si="310"/>
        <v>2417,48</v>
      </c>
      <c r="Y284" s="151">
        <f t="shared" si="311"/>
        <v>0.11891776423853835</v>
      </c>
      <c r="Z284" s="151">
        <f t="shared" si="312"/>
        <v>5.687432761802505</v>
      </c>
    </row>
    <row r="285" spans="1:26" ht="12.75">
      <c r="A285" s="141">
        <f>+'SMAW-SMAW'!A285</f>
        <v>268</v>
      </c>
      <c r="B285" s="142">
        <v>24</v>
      </c>
      <c r="C285" s="143">
        <f t="shared" si="314"/>
        <v>609.5999999999999</v>
      </c>
      <c r="D285" s="143">
        <v>24.61</v>
      </c>
      <c r="E285" s="144" t="s">
        <v>94</v>
      </c>
      <c r="F285" s="145">
        <f t="shared" si="315"/>
        <v>2</v>
      </c>
      <c r="G285" s="145">
        <f t="shared" si="309"/>
        <v>2</v>
      </c>
      <c r="H285" s="145">
        <f t="shared" si="316"/>
        <v>3</v>
      </c>
      <c r="I285" s="146">
        <f t="shared" si="317"/>
        <v>13.044558795642326</v>
      </c>
      <c r="J285" s="147"/>
      <c r="K285" s="145">
        <f t="shared" si="318"/>
        <v>0.9891943617744884</v>
      </c>
      <c r="L285" s="145">
        <f t="shared" si="319"/>
        <v>6</v>
      </c>
      <c r="M285" s="145">
        <f t="shared" si="320"/>
        <v>45.22</v>
      </c>
      <c r="N285" s="145">
        <f t="shared" si="321"/>
        <v>221.75749952591954</v>
      </c>
      <c r="O285" s="145">
        <f t="shared" si="322"/>
        <v>151.90933005666176</v>
      </c>
      <c r="P285" s="145">
        <f t="shared" si="323"/>
        <v>105.2025189445009</v>
      </c>
      <c r="Q285" s="147">
        <f t="shared" si="324"/>
        <v>524.0893485270822</v>
      </c>
      <c r="R285" s="147"/>
      <c r="S285" s="128">
        <f t="shared" si="325"/>
        <v>0.11598715571157589</v>
      </c>
      <c r="T285" s="128">
        <f t="shared" si="326"/>
        <v>10.722134370964069</v>
      </c>
      <c r="U285" s="145">
        <f t="shared" si="327"/>
        <v>0</v>
      </c>
      <c r="V285" s="145">
        <f t="shared" si="328"/>
        <v>0</v>
      </c>
      <c r="W285" s="128">
        <f t="shared" si="313"/>
        <v>0</v>
      </c>
      <c r="X285" t="str">
        <f t="shared" si="310"/>
        <v>2424,61</v>
      </c>
      <c r="Y285" s="151">
        <f t="shared" si="311"/>
        <v>0.11598715571157589</v>
      </c>
      <c r="Z285" s="151">
        <f t="shared" si="312"/>
        <v>10.722134370964069</v>
      </c>
    </row>
    <row r="286" spans="1:26" ht="12.75">
      <c r="A286" s="141">
        <f>+'SMAW-SMAW'!A286</f>
        <v>269</v>
      </c>
      <c r="B286" s="142">
        <v>24</v>
      </c>
      <c r="C286" s="143">
        <f t="shared" si="314"/>
        <v>609.5999999999999</v>
      </c>
      <c r="D286" s="143">
        <v>30.96</v>
      </c>
      <c r="E286" s="144" t="s">
        <v>89</v>
      </c>
      <c r="F286" s="145">
        <f t="shared" si="315"/>
        <v>2</v>
      </c>
      <c r="G286" s="145">
        <f t="shared" si="309"/>
        <v>2</v>
      </c>
      <c r="H286" s="145">
        <f t="shared" si="316"/>
        <v>3</v>
      </c>
      <c r="I286" s="146">
        <f t="shared" si="317"/>
        <v>13.044558795642326</v>
      </c>
      <c r="J286" s="147"/>
      <c r="K286" s="145">
        <f t="shared" si="318"/>
        <v>2.108870689273241</v>
      </c>
      <c r="L286" s="145">
        <f t="shared" si="319"/>
        <v>6</v>
      </c>
      <c r="M286" s="145">
        <f t="shared" si="320"/>
        <v>57.92</v>
      </c>
      <c r="N286" s="145">
        <f t="shared" si="321"/>
        <v>221.75749952591954</v>
      </c>
      <c r="O286" s="145">
        <f t="shared" si="322"/>
        <v>337.24793983547244</v>
      </c>
      <c r="P286" s="145">
        <f t="shared" si="323"/>
        <v>111.9205769094934</v>
      </c>
      <c r="Q286" s="147">
        <f t="shared" si="324"/>
        <v>728.8460162708853</v>
      </c>
      <c r="R286" s="147"/>
      <c r="S286" s="128">
        <f t="shared" si="325"/>
        <v>0.11337714671491225</v>
      </c>
      <c r="T286" s="128">
        <f t="shared" si="326"/>
        <v>14.831906866022715</v>
      </c>
      <c r="U286" s="145">
        <f t="shared" si="327"/>
        <v>0</v>
      </c>
      <c r="V286" s="145">
        <f t="shared" si="328"/>
        <v>0</v>
      </c>
      <c r="W286" s="128">
        <f t="shared" si="313"/>
        <v>0</v>
      </c>
      <c r="X286" t="str">
        <f t="shared" si="310"/>
        <v>2430,96</v>
      </c>
      <c r="Y286" s="151">
        <f t="shared" si="311"/>
        <v>0.11337714671491225</v>
      </c>
      <c r="Z286" s="151">
        <f t="shared" si="312"/>
        <v>14.831906866022715</v>
      </c>
    </row>
    <row r="287" spans="1:26" ht="12.75">
      <c r="A287" s="141">
        <f>+'SMAW-SMAW'!A287</f>
        <v>270</v>
      </c>
      <c r="B287" s="142">
        <v>24</v>
      </c>
      <c r="C287" s="143">
        <f t="shared" si="314"/>
        <v>609.5999999999999</v>
      </c>
      <c r="D287" s="143">
        <v>38.89</v>
      </c>
      <c r="E287" s="144" t="s">
        <v>95</v>
      </c>
      <c r="F287" s="145">
        <f t="shared" si="315"/>
        <v>2</v>
      </c>
      <c r="G287" s="145">
        <f t="shared" si="309"/>
        <v>2</v>
      </c>
      <c r="H287" s="145">
        <f t="shared" si="316"/>
        <v>3</v>
      </c>
      <c r="I287" s="146">
        <f t="shared" si="317"/>
        <v>13.044558795642326</v>
      </c>
      <c r="J287" s="147"/>
      <c r="K287" s="145">
        <f t="shared" si="318"/>
        <v>3.5071436462913685</v>
      </c>
      <c r="L287" s="145">
        <f t="shared" si="319"/>
        <v>6</v>
      </c>
      <c r="M287" s="145">
        <f t="shared" si="320"/>
        <v>73.78</v>
      </c>
      <c r="N287" s="145">
        <f t="shared" si="321"/>
        <v>221.75749952591954</v>
      </c>
      <c r="O287" s="145">
        <f t="shared" si="322"/>
        <v>588.669636015387</v>
      </c>
      <c r="P287" s="145">
        <f t="shared" si="323"/>
        <v>120.31021465160217</v>
      </c>
      <c r="Q287" s="147">
        <f t="shared" si="324"/>
        <v>1004.5173501929087</v>
      </c>
      <c r="R287" s="147"/>
      <c r="S287" s="128">
        <f t="shared" si="325"/>
        <v>0.11011771815687409</v>
      </c>
      <c r="T287" s="128">
        <f t="shared" si="326"/>
        <v>20.305354048118573</v>
      </c>
      <c r="U287" s="145">
        <f t="shared" si="327"/>
        <v>0</v>
      </c>
      <c r="V287" s="145">
        <f t="shared" si="328"/>
        <v>0</v>
      </c>
      <c r="W287" s="128">
        <f t="shared" si="313"/>
        <v>0</v>
      </c>
      <c r="X287" t="str">
        <f t="shared" si="310"/>
        <v>2438,89</v>
      </c>
      <c r="Y287" s="151">
        <f t="shared" si="311"/>
        <v>0.11011771815687409</v>
      </c>
      <c r="Z287" s="151">
        <f t="shared" si="312"/>
        <v>20.305354048118573</v>
      </c>
    </row>
    <row r="288" spans="1:26" ht="12.75">
      <c r="A288" s="141">
        <f>+'SMAW-SMAW'!A288</f>
        <v>271</v>
      </c>
      <c r="B288" s="142">
        <v>24</v>
      </c>
      <c r="C288" s="143">
        <f t="shared" si="314"/>
        <v>609.5999999999999</v>
      </c>
      <c r="D288" s="143">
        <v>46.02</v>
      </c>
      <c r="E288" s="144" t="s">
        <v>91</v>
      </c>
      <c r="F288" s="145">
        <f t="shared" si="315"/>
        <v>2</v>
      </c>
      <c r="G288" s="145">
        <f t="shared" si="309"/>
        <v>2</v>
      </c>
      <c r="H288" s="145">
        <f t="shared" si="316"/>
        <v>3</v>
      </c>
      <c r="I288" s="146">
        <f t="shared" si="317"/>
        <v>13.044558795642326</v>
      </c>
      <c r="J288" s="147"/>
      <c r="K288" s="145">
        <f t="shared" si="318"/>
        <v>4.764355018742724</v>
      </c>
      <c r="L288" s="145">
        <f t="shared" si="319"/>
        <v>6</v>
      </c>
      <c r="M288" s="145">
        <f t="shared" si="320"/>
        <v>88.04</v>
      </c>
      <c r="N288" s="145">
        <f t="shared" si="321"/>
        <v>221.75749952591954</v>
      </c>
      <c r="O288" s="145">
        <f t="shared" si="322"/>
        <v>833.6608299229397</v>
      </c>
      <c r="P288" s="145">
        <f t="shared" si="323"/>
        <v>127.8534828863103</v>
      </c>
      <c r="Q288" s="147">
        <f t="shared" si="324"/>
        <v>1271.3118123351696</v>
      </c>
      <c r="R288" s="147"/>
      <c r="S288" s="128">
        <f t="shared" si="325"/>
        <v>0.10718710962991163</v>
      </c>
      <c r="T288" s="128">
        <f t="shared" si="326"/>
        <v>25.54310979941022</v>
      </c>
      <c r="U288" s="145">
        <f t="shared" si="327"/>
        <v>0</v>
      </c>
      <c r="V288" s="145">
        <f t="shared" si="328"/>
        <v>0</v>
      </c>
      <c r="W288" s="128">
        <f t="shared" si="313"/>
        <v>0</v>
      </c>
      <c r="X288" t="str">
        <f t="shared" si="310"/>
        <v>2446,02</v>
      </c>
      <c r="Y288" s="151">
        <f t="shared" si="311"/>
        <v>0.10718710962991163</v>
      </c>
      <c r="Z288" s="151">
        <f t="shared" si="312"/>
        <v>25.54310979941022</v>
      </c>
    </row>
    <row r="289" spans="1:26" ht="12.75">
      <c r="A289" s="141">
        <f>+'SMAW-SMAW'!A289</f>
        <v>272</v>
      </c>
      <c r="B289" s="142">
        <v>24</v>
      </c>
      <c r="C289" s="143">
        <f t="shared" si="314"/>
        <v>609.5999999999999</v>
      </c>
      <c r="D289" s="143">
        <v>52.39</v>
      </c>
      <c r="E289" s="144" t="s">
        <v>96</v>
      </c>
      <c r="F289" s="145">
        <f t="shared" si="315"/>
        <v>2</v>
      </c>
      <c r="G289" s="145">
        <f t="shared" si="309"/>
        <v>2</v>
      </c>
      <c r="H289" s="145">
        <f t="shared" si="316"/>
        <v>3</v>
      </c>
      <c r="I289" s="146">
        <f t="shared" si="317"/>
        <v>13.044558795642326</v>
      </c>
      <c r="J289" s="147"/>
      <c r="K289" s="145">
        <f t="shared" si="318"/>
        <v>5.887557885855646</v>
      </c>
      <c r="L289" s="145">
        <f t="shared" si="319"/>
        <v>6</v>
      </c>
      <c r="M289" s="145">
        <f t="shared" si="320"/>
        <v>100.78</v>
      </c>
      <c r="N289" s="145">
        <f t="shared" si="321"/>
        <v>221.75749952591954</v>
      </c>
      <c r="O289" s="145">
        <f t="shared" si="322"/>
        <v>1067.7011941817145</v>
      </c>
      <c r="P289" s="145">
        <f t="shared" si="323"/>
        <v>134.59270008898784</v>
      </c>
      <c r="Q289" s="147">
        <f t="shared" si="324"/>
        <v>1524.8313937966218</v>
      </c>
      <c r="R289" s="147"/>
      <c r="S289" s="128">
        <f t="shared" si="325"/>
        <v>0.1045688801324711</v>
      </c>
      <c r="T289" s="128">
        <f t="shared" si="326"/>
        <v>30.47045958199311</v>
      </c>
      <c r="U289" s="145">
        <f t="shared" si="327"/>
        <v>0</v>
      </c>
      <c r="V289" s="145">
        <f t="shared" si="328"/>
        <v>0</v>
      </c>
      <c r="W289" s="128">
        <f t="shared" si="313"/>
        <v>0</v>
      </c>
      <c r="X289" t="str">
        <f t="shared" si="310"/>
        <v>2452,39</v>
      </c>
      <c r="Y289" s="151">
        <f t="shared" si="311"/>
        <v>0.1045688801324711</v>
      </c>
      <c r="Z289" s="151">
        <f t="shared" si="312"/>
        <v>30.47045958199311</v>
      </c>
    </row>
    <row r="290" spans="1:26" ht="12.75">
      <c r="A290" s="141">
        <f>+'SMAW-SMAW'!A290</f>
        <v>273</v>
      </c>
      <c r="B290" s="142">
        <v>24</v>
      </c>
      <c r="C290" s="143">
        <f t="shared" si="314"/>
        <v>609.5999999999999</v>
      </c>
      <c r="D290" s="143">
        <v>59.54</v>
      </c>
      <c r="E290" s="144" t="s">
        <v>90</v>
      </c>
      <c r="F290" s="145">
        <f t="shared" si="315"/>
        <v>2</v>
      </c>
      <c r="G290" s="145">
        <f t="shared" si="309"/>
        <v>2</v>
      </c>
      <c r="H290" s="145">
        <f t="shared" si="316"/>
        <v>3</v>
      </c>
      <c r="I290" s="146">
        <f t="shared" si="317"/>
        <v>13.044558795642326</v>
      </c>
      <c r="J290" s="147"/>
      <c r="K290" s="145">
        <f t="shared" si="318"/>
        <v>7.14829579792117</v>
      </c>
      <c r="L290" s="145">
        <f t="shared" si="319"/>
        <v>6</v>
      </c>
      <c r="M290" s="145">
        <f t="shared" si="320"/>
        <v>115.08</v>
      </c>
      <c r="N290" s="145">
        <f t="shared" si="321"/>
        <v>221.75749952591954</v>
      </c>
      <c r="O290" s="145">
        <f t="shared" si="322"/>
        <v>1347.444738798404</v>
      </c>
      <c r="P290" s="145">
        <f t="shared" si="323"/>
        <v>142.15712756138097</v>
      </c>
      <c r="Q290" s="147">
        <f t="shared" si="324"/>
        <v>1826.4393658857045</v>
      </c>
      <c r="R290" s="147"/>
      <c r="S290" s="128">
        <f t="shared" si="325"/>
        <v>0.10163005110473175</v>
      </c>
      <c r="T290" s="128">
        <f t="shared" si="326"/>
        <v>36.273793288935245</v>
      </c>
      <c r="U290" s="145">
        <f t="shared" si="327"/>
        <v>0</v>
      </c>
      <c r="V290" s="145">
        <f t="shared" si="328"/>
        <v>0</v>
      </c>
      <c r="W290" s="128">
        <f t="shared" si="313"/>
        <v>0</v>
      </c>
      <c r="X290" t="str">
        <f t="shared" si="310"/>
        <v>2459,54</v>
      </c>
      <c r="Y290" s="151">
        <f t="shared" si="311"/>
        <v>0.10163005110473175</v>
      </c>
      <c r="Z290" s="151">
        <f t="shared" si="312"/>
        <v>36.273793288935245</v>
      </c>
    </row>
    <row r="291" spans="1:26" ht="12.75">
      <c r="A291" s="141">
        <f>+'SMAW-SMAW'!A291</f>
        <v>274</v>
      </c>
      <c r="B291" s="142"/>
      <c r="C291" s="143"/>
      <c r="D291" s="143"/>
      <c r="E291" s="144"/>
      <c r="F291" s="145"/>
      <c r="G291" s="145">
        <f t="shared" si="309"/>
        <v>0</v>
      </c>
      <c r="H291" s="145"/>
      <c r="I291" s="146"/>
      <c r="J291" s="147"/>
      <c r="K291" s="145"/>
      <c r="L291" s="145"/>
      <c r="M291" s="145"/>
      <c r="N291" s="145"/>
      <c r="O291" s="145"/>
      <c r="P291" s="145"/>
      <c r="Q291" s="147"/>
      <c r="R291" s="147"/>
      <c r="S291" s="128"/>
      <c r="T291" s="128"/>
      <c r="U291" s="145"/>
      <c r="V291" s="145"/>
      <c r="W291" s="128">
        <f t="shared" si="313"/>
        <v>0</v>
      </c>
      <c r="X291">
        <f t="shared" si="310"/>
      </c>
      <c r="Y291" s="151">
        <f t="shared" si="311"/>
        <v>0</v>
      </c>
      <c r="Z291" s="151">
        <f t="shared" si="312"/>
        <v>0</v>
      </c>
    </row>
    <row r="292" spans="1:26" ht="12.75">
      <c r="A292" s="141">
        <f>+'SMAW-SMAW'!A292</f>
        <v>275</v>
      </c>
      <c r="B292" s="142">
        <v>26</v>
      </c>
      <c r="C292" s="143">
        <f>25.4*B292</f>
        <v>660.4</v>
      </c>
      <c r="D292" s="143">
        <v>7.92</v>
      </c>
      <c r="E292" s="144" t="s">
        <v>97</v>
      </c>
      <c r="F292" s="145">
        <f>IF($D$6=1,2,3)</f>
        <v>2</v>
      </c>
      <c r="G292" s="145">
        <f t="shared" si="309"/>
        <v>2</v>
      </c>
      <c r="H292" s="145">
        <f>IF(D292&lt;=19,2,3)</f>
        <v>2</v>
      </c>
      <c r="I292" s="146">
        <f>IF(D292&lt;=19,(D292-G292)*TAN($C$8*PI()/180),(19-G292)*TAN($C$8*PI()/180))</f>
        <v>4.542575768835445</v>
      </c>
      <c r="J292" s="147"/>
      <c r="K292" s="145">
        <f>IF(D292&lt;=19,0,(D292-19)*TAN($C$10*PI()/180))</f>
        <v>0</v>
      </c>
      <c r="L292" s="145">
        <f>+F292*(G292*1.5)</f>
        <v>6</v>
      </c>
      <c r="M292" s="145">
        <f>+F292*(D292-G292)</f>
        <v>11.84</v>
      </c>
      <c r="N292" s="145">
        <f>IF(D292&lt;=19,(D292-G292)*I292,(19-G292)*I292)</f>
        <v>26.892048551505837</v>
      </c>
      <c r="O292" s="145">
        <f>IF(D292&lt;=19,0,(I292*(D292-19)*2)+((K292)*(D292-19)))</f>
        <v>0</v>
      </c>
      <c r="P292" s="145">
        <f>+(5+F292+(2*(I292+K292)))*H292</f>
        <v>32.17030307534178</v>
      </c>
      <c r="Q292" s="147">
        <f>SUM(M292:P292)</f>
        <v>70.90235162684762</v>
      </c>
      <c r="R292" s="147"/>
      <c r="S292" s="128">
        <f>IF(D$6=1,(PI()*(C292-(2*D292)+(2*G292))*L292*0.1*0.01*7.85*0.001/(S$16*S$17)),0)</f>
        <v>0.1332871995965478</v>
      </c>
      <c r="T292" s="128">
        <f>IF(D$6=1,(PI()*(C292-(0.5*D292))*(Q292)*0.1*0.01*7.85*0.001/(T$16*T$17)),0)</f>
        <v>1.5941996503281286</v>
      </c>
      <c r="U292" s="145">
        <f>IF(D$6=1,0,(PI()*(C292-(2*D292)+(2*G292))*L292*0.1*0.01*7.85*0.001/(U$16*U$17)))</f>
        <v>0</v>
      </c>
      <c r="V292" s="145">
        <f>IF(D$6=1,0,(PI()*(C292-(0.5*D292))*(Q292)*0.1*0.01*7.85*0.001/(V$16*V$17)))</f>
        <v>0</v>
      </c>
      <c r="W292" s="128">
        <f t="shared" si="313"/>
        <v>0</v>
      </c>
      <c r="X292" t="str">
        <f t="shared" si="310"/>
        <v>267,92</v>
      </c>
      <c r="Y292" s="151">
        <f t="shared" si="311"/>
        <v>0.1332871995965478</v>
      </c>
      <c r="Z292" s="151">
        <f t="shared" si="312"/>
        <v>1.5941996503281286</v>
      </c>
    </row>
    <row r="293" spans="1:26" ht="12.75">
      <c r="A293" s="141">
        <f>+'SMAW-SMAW'!A293</f>
        <v>276</v>
      </c>
      <c r="B293" s="142">
        <v>26</v>
      </c>
      <c r="C293" s="143">
        <f>25.4*B293</f>
        <v>660.4</v>
      </c>
      <c r="D293" s="143">
        <v>9.52</v>
      </c>
      <c r="E293" s="144" t="s">
        <v>86</v>
      </c>
      <c r="F293" s="145">
        <f>IF($D$6=1,2,3)</f>
        <v>2</v>
      </c>
      <c r="G293" s="145">
        <f t="shared" si="309"/>
        <v>2</v>
      </c>
      <c r="H293" s="145">
        <f>IF(D293&lt;=19,2,3)</f>
        <v>2</v>
      </c>
      <c r="I293" s="146">
        <f>IF(D293&lt;=19,(D293-G293)*TAN($C$8*PI()/180),(19-G293)*TAN($C$8*PI()/180))</f>
        <v>5.770298949601782</v>
      </c>
      <c r="J293" s="147"/>
      <c r="K293" s="145">
        <f>IF(D293&lt;=19,0,(D293-19)*TAN($C$10*PI()/180))</f>
        <v>0</v>
      </c>
      <c r="L293" s="145">
        <f>+F293*(G293*1.5)</f>
        <v>6</v>
      </c>
      <c r="M293" s="145">
        <f>+F293*(D293-G293)</f>
        <v>15.04</v>
      </c>
      <c r="N293" s="145">
        <f>IF(D293&lt;=19,(D293-G293)*I293,(19-G293)*I293)</f>
        <v>43.39264810100539</v>
      </c>
      <c r="O293" s="145">
        <f>IF(D293&lt;=19,0,(I293*(D293-19)*2)+((K293)*(D293-19)))</f>
        <v>0</v>
      </c>
      <c r="P293" s="145">
        <f>+(5+F293+(2*(I293+K293)))*H293</f>
        <v>37.08119579840712</v>
      </c>
      <c r="Q293" s="147">
        <f>SUM(M293:P293)</f>
        <v>95.5138438994125</v>
      </c>
      <c r="R293" s="147"/>
      <c r="S293" s="128">
        <f>IF(D$6=1,(PI()*(C293-(2*D293)+(2*G293))*L293*0.1*0.01*7.85*0.001/(S$16*S$17)),0)</f>
        <v>0.13262955953439637</v>
      </c>
      <c r="T293" s="128">
        <f>IF(D$6=1,(PI()*(C293-(0.5*D293))*(Q293)*0.1*0.01*7.85*0.001/(T$16*T$17)),0)</f>
        <v>2.144958025701137</v>
      </c>
      <c r="U293" s="145">
        <f>IF(D$6=1,0,(PI()*(C293-(2*D293)+(2*G293))*L293*0.1*0.01*7.85*0.001/(U$16*U$17)))</f>
        <v>0</v>
      </c>
      <c r="V293" s="145">
        <f>IF(D$6=1,0,(PI()*(C293-(0.5*D293))*(Q293)*0.1*0.01*7.85*0.001/(V$16*V$17)))</f>
        <v>0</v>
      </c>
      <c r="W293" s="128">
        <f t="shared" si="313"/>
        <v>0</v>
      </c>
      <c r="X293" t="str">
        <f t="shared" si="310"/>
        <v>269,52</v>
      </c>
      <c r="Y293" s="151">
        <f t="shared" si="311"/>
        <v>0.13262955953439637</v>
      </c>
      <c r="Z293" s="151">
        <f t="shared" si="312"/>
        <v>2.144958025701137</v>
      </c>
    </row>
    <row r="294" spans="1:26" ht="12.75">
      <c r="A294" s="141">
        <f>+'SMAW-SMAW'!A294</f>
        <v>277</v>
      </c>
      <c r="B294" s="142">
        <v>26</v>
      </c>
      <c r="C294" s="143">
        <f>25.4*B294</f>
        <v>660.4</v>
      </c>
      <c r="D294" s="143">
        <v>12.7</v>
      </c>
      <c r="E294" s="144" t="s">
        <v>92</v>
      </c>
      <c r="F294" s="145">
        <f>IF($D$6=1,2,3)</f>
        <v>2</v>
      </c>
      <c r="G294" s="145">
        <f t="shared" si="309"/>
        <v>2</v>
      </c>
      <c r="H294" s="145">
        <f>IF(D294&lt;=19,2,3)</f>
        <v>2</v>
      </c>
      <c r="I294" s="146">
        <f>IF(D294&lt;=19,(D294-G294)*TAN($C$8*PI()/180),(19-G294)*TAN($C$8*PI()/180))</f>
        <v>8.210398771374875</v>
      </c>
      <c r="J294" s="147"/>
      <c r="K294" s="145">
        <f>IF(D294&lt;=19,0,(D294-19)*TAN($C$10*PI()/180))</f>
        <v>0</v>
      </c>
      <c r="L294" s="145">
        <f>+F294*(G294*1.5)</f>
        <v>6</v>
      </c>
      <c r="M294" s="145">
        <f>+F294*(D294-G294)</f>
        <v>21.4</v>
      </c>
      <c r="N294" s="145">
        <f>IF(D294&lt;=19,(D294-G294)*I294,(19-G294)*I294)</f>
        <v>87.85126685371115</v>
      </c>
      <c r="O294" s="145">
        <f>IF(D294&lt;=19,0,(I294*(D294-19)*2)+((K294)*(D294-19)))</f>
        <v>0</v>
      </c>
      <c r="P294" s="145">
        <f>+(5+F294+(2*(I294+K294)))*H294</f>
        <v>46.8415950854995</v>
      </c>
      <c r="Q294" s="147">
        <f>SUM(M294:P294)</f>
        <v>156.09286193921065</v>
      </c>
      <c r="R294" s="147"/>
      <c r="S294" s="128">
        <f>IF(D$6=1,(PI()*(C294-(2*D294)+(2*G294))*L294*0.1*0.01*7.85*0.001/(S$16*S$17)),0)</f>
        <v>0.13132249991087033</v>
      </c>
      <c r="T294" s="128">
        <f>IF(D$6=1,(PI()*(C294-(0.5*D294))*(Q294)*0.1*0.01*7.85*0.001/(T$16*T$17)),0)</f>
        <v>3.4968823932966786</v>
      </c>
      <c r="U294" s="145">
        <f>IF(D$6=1,0,(PI()*(C294-(2*D294)+(2*G294))*L294*0.1*0.01*7.85*0.001/(U$16*U$17)))</f>
        <v>0</v>
      </c>
      <c r="V294" s="145">
        <f>IF(D$6=1,0,(PI()*(C294-(0.5*D294))*(Q294)*0.1*0.01*7.85*0.001/(V$16*V$17)))</f>
        <v>0</v>
      </c>
      <c r="W294" s="128">
        <f t="shared" si="313"/>
        <v>0</v>
      </c>
      <c r="X294" t="str">
        <f t="shared" si="310"/>
        <v>2612,7</v>
      </c>
      <c r="Y294" s="151">
        <f t="shared" si="311"/>
        <v>0.13132249991087033</v>
      </c>
      <c r="Z294" s="151">
        <f t="shared" si="312"/>
        <v>3.4968823932966786</v>
      </c>
    </row>
    <row r="295" spans="1:26" ht="12.75">
      <c r="A295" s="141">
        <f>+'SMAW-SMAW'!A295</f>
        <v>278</v>
      </c>
      <c r="B295" s="142">
        <v>26</v>
      </c>
      <c r="C295" s="143">
        <f>25.4*B295</f>
        <v>660.4</v>
      </c>
      <c r="D295" s="143">
        <v>12.7</v>
      </c>
      <c r="E295" s="144" t="s">
        <v>82</v>
      </c>
      <c r="F295" s="145">
        <f>IF($D$6=1,2,3)</f>
        <v>2</v>
      </c>
      <c r="G295" s="145">
        <f t="shared" si="309"/>
        <v>2</v>
      </c>
      <c r="H295" s="145">
        <f>IF(D295&lt;=19,2,3)</f>
        <v>2</v>
      </c>
      <c r="I295" s="146">
        <f>IF(D295&lt;=19,(D295-G295)*TAN($C$8*PI()/180),(19-G295)*TAN($C$8*PI()/180))</f>
        <v>8.210398771374875</v>
      </c>
      <c r="J295" s="147"/>
      <c r="K295" s="145">
        <f>IF(D295&lt;=19,0,(D295-19)*TAN($C$10*PI()/180))</f>
        <v>0</v>
      </c>
      <c r="L295" s="145">
        <f>+F295*(G295*1.5)</f>
        <v>6</v>
      </c>
      <c r="M295" s="145">
        <f>+F295*(D295-G295)</f>
        <v>21.4</v>
      </c>
      <c r="N295" s="145">
        <f>IF(D295&lt;=19,(D295-G295)*I295,(19-G295)*I295)</f>
        <v>87.85126685371115</v>
      </c>
      <c r="O295" s="145">
        <f>IF(D295&lt;=19,0,(I295*(D295-19)*2)+((K295)*(D295-19)))</f>
        <v>0</v>
      </c>
      <c r="P295" s="145">
        <f>+(5+F295+(2*(I295+K295)))*H295</f>
        <v>46.8415950854995</v>
      </c>
      <c r="Q295" s="147">
        <f>SUM(M295:P295)</f>
        <v>156.09286193921065</v>
      </c>
      <c r="R295" s="147"/>
      <c r="S295" s="128">
        <f>IF(D$6=1,(PI()*(C295-(2*D295)+(2*G295))*L295*0.1*0.01*7.85*0.001/(S$16*S$17)),0)</f>
        <v>0.13132249991087033</v>
      </c>
      <c r="T295" s="128">
        <f>IF(D$6=1,(PI()*(C295-(0.5*D295))*(Q295)*0.1*0.01*7.85*0.001/(T$16*T$17)),0)</f>
        <v>3.4968823932966786</v>
      </c>
      <c r="U295" s="145">
        <f>IF(D$6=1,0,(PI()*(C295-(2*D295)+(2*G295))*L295*0.1*0.01*7.85*0.001/(U$16*U$17)))</f>
        <v>0</v>
      </c>
      <c r="V295" s="145">
        <f>IF(D$6=1,0,(PI()*(C295-(0.5*D295))*(Q295)*0.1*0.01*7.85*0.001/(V$16*V$17)))</f>
        <v>0</v>
      </c>
      <c r="W295" s="128">
        <f t="shared" si="313"/>
        <v>0</v>
      </c>
      <c r="X295" t="str">
        <f t="shared" si="310"/>
        <v>2612,7</v>
      </c>
      <c r="Y295" s="151">
        <f t="shared" si="311"/>
        <v>0.13132249991087033</v>
      </c>
      <c r="Z295" s="151">
        <f t="shared" si="312"/>
        <v>3.4968823932966786</v>
      </c>
    </row>
    <row r="296" spans="1:26" ht="12.75">
      <c r="A296" s="141">
        <f>+'SMAW-SMAW'!A296</f>
        <v>279</v>
      </c>
      <c r="B296" s="142"/>
      <c r="C296" s="143"/>
      <c r="D296" s="143"/>
      <c r="E296" s="144"/>
      <c r="F296" s="145"/>
      <c r="G296" s="145">
        <f aca="true" t="shared" si="329" ref="G296:G323">IF(D296&lt;2,D296,2)</f>
        <v>0</v>
      </c>
      <c r="H296" s="145"/>
      <c r="I296" s="146"/>
      <c r="J296" s="147"/>
      <c r="K296" s="145"/>
      <c r="L296" s="145"/>
      <c r="M296" s="145"/>
      <c r="N296" s="145"/>
      <c r="O296" s="145"/>
      <c r="P296" s="145"/>
      <c r="Q296" s="147"/>
      <c r="R296" s="147"/>
      <c r="S296" s="128"/>
      <c r="T296" s="128"/>
      <c r="U296" s="145"/>
      <c r="V296" s="145"/>
      <c r="W296" s="128">
        <f t="shared" si="313"/>
        <v>0</v>
      </c>
      <c r="X296">
        <f t="shared" si="310"/>
      </c>
      <c r="Y296" s="151">
        <f t="shared" si="311"/>
        <v>0</v>
      </c>
      <c r="Z296" s="151">
        <f t="shared" si="312"/>
        <v>0</v>
      </c>
    </row>
    <row r="297" spans="1:26" ht="12.75">
      <c r="A297" s="141">
        <f>+'SMAW-SMAW'!A297</f>
        <v>280</v>
      </c>
      <c r="B297" s="142">
        <v>28</v>
      </c>
      <c r="C297" s="143">
        <f>25.4*B297</f>
        <v>711.1999999999999</v>
      </c>
      <c r="D297" s="143">
        <v>7.92</v>
      </c>
      <c r="E297" s="144" t="s">
        <v>97</v>
      </c>
      <c r="F297" s="145">
        <f>IF($D$6=1,2,3)</f>
        <v>2</v>
      </c>
      <c r="G297" s="145">
        <f t="shared" si="329"/>
        <v>2</v>
      </c>
      <c r="H297" s="145">
        <f>IF(D297&lt;=19,2,3)</f>
        <v>2</v>
      </c>
      <c r="I297" s="146">
        <f>IF(D297&lt;=19,(D297-G297)*TAN($C$8*PI()/180),(19-G297)*TAN($C$8*PI()/180))</f>
        <v>4.542575768835445</v>
      </c>
      <c r="J297" s="147"/>
      <c r="K297" s="145">
        <f>IF(D297&lt;=19,0,(D297-19)*TAN($C$10*PI()/180))</f>
        <v>0</v>
      </c>
      <c r="L297" s="145">
        <f>+F297*(G297*1.5)</f>
        <v>6</v>
      </c>
      <c r="M297" s="145">
        <f>+F297*(D297-G297)</f>
        <v>11.84</v>
      </c>
      <c r="N297" s="145">
        <f>IF(D297&lt;=19,(D297-G297)*I297,(19-G297)*I297)</f>
        <v>26.892048551505837</v>
      </c>
      <c r="O297" s="145">
        <f>IF(D297&lt;=19,0,(I297*(D297-19)*2)+((K297)*(D297-19)))</f>
        <v>0</v>
      </c>
      <c r="P297" s="145">
        <f>+(5+F297+(2*(I297+K297)))*H297</f>
        <v>32.17030307534178</v>
      </c>
      <c r="Q297" s="147">
        <f>SUM(M297:P297)</f>
        <v>70.90235162684762</v>
      </c>
      <c r="R297" s="147"/>
      <c r="S297" s="128">
        <f>IF(D$6=1,(PI()*(C297-(2*D297)+(2*G297))*L297*0.1*0.01*7.85*0.001/(S$16*S$17)),0)</f>
        <v>0.1437272355832023</v>
      </c>
      <c r="T297" s="128">
        <f>IF(D$6=1,(PI()*(C297-(0.5*D297))*(Q297)*0.1*0.01*7.85*0.001/(T$16*T$17)),0)</f>
        <v>1.7175701674152482</v>
      </c>
      <c r="U297" s="145">
        <f>IF(D$6=1,0,(PI()*(C297-(2*D297)+(2*G297))*L297*0.1*0.01*7.85*0.001/(U$16*U$17)))</f>
        <v>0</v>
      </c>
      <c r="V297" s="145">
        <f>IF(D$6=1,0,(PI()*(C297-(0.5*D297))*(Q297)*0.1*0.01*7.85*0.001/(V$16*V$17)))</f>
        <v>0</v>
      </c>
      <c r="W297" s="128">
        <f t="shared" si="313"/>
        <v>0</v>
      </c>
      <c r="X297" t="str">
        <f t="shared" si="310"/>
        <v>287,92</v>
      </c>
      <c r="Y297" s="151">
        <f t="shared" si="311"/>
        <v>0.1437272355832023</v>
      </c>
      <c r="Z297" s="151">
        <f t="shared" si="312"/>
        <v>1.7175701674152482</v>
      </c>
    </row>
    <row r="298" spans="1:26" ht="12.75">
      <c r="A298" s="141">
        <f>+'SMAW-SMAW'!A298</f>
        <v>281</v>
      </c>
      <c r="B298" s="142">
        <v>28</v>
      </c>
      <c r="C298" s="143">
        <f>25.4*B298</f>
        <v>711.1999999999999</v>
      </c>
      <c r="D298" s="143">
        <v>9.52</v>
      </c>
      <c r="E298" s="144" t="s">
        <v>86</v>
      </c>
      <c r="F298" s="145">
        <f>IF($D$6=1,2,3)</f>
        <v>2</v>
      </c>
      <c r="G298" s="145">
        <f t="shared" si="329"/>
        <v>2</v>
      </c>
      <c r="H298" s="145">
        <f>IF(D298&lt;=19,2,3)</f>
        <v>2</v>
      </c>
      <c r="I298" s="146">
        <f>IF(D298&lt;=19,(D298-G298)*TAN($C$8*PI()/180),(19-G298)*TAN($C$8*PI()/180))</f>
        <v>5.770298949601782</v>
      </c>
      <c r="J298" s="147"/>
      <c r="K298" s="145">
        <f>IF(D298&lt;=19,0,(D298-19)*TAN($C$10*PI()/180))</f>
        <v>0</v>
      </c>
      <c r="L298" s="145">
        <f>+F298*(G298*1.5)</f>
        <v>6</v>
      </c>
      <c r="M298" s="145">
        <f>+F298*(D298-G298)</f>
        <v>15.04</v>
      </c>
      <c r="N298" s="145">
        <f>IF(D298&lt;=19,(D298-G298)*I298,(19-G298)*I298)</f>
        <v>43.39264810100539</v>
      </c>
      <c r="O298" s="145">
        <f>IF(D298&lt;=19,0,(I298*(D298-19)*2)+((K298)*(D298-19)))</f>
        <v>0</v>
      </c>
      <c r="P298" s="145">
        <f>+(5+F298+(2*(I298+K298)))*H298</f>
        <v>37.08119579840712</v>
      </c>
      <c r="Q298" s="147">
        <f>SUM(M298:P298)</f>
        <v>95.5138438994125</v>
      </c>
      <c r="R298" s="147"/>
      <c r="S298" s="128">
        <f>IF(D$6=1,(PI()*(C298-(2*D298)+(2*G298))*L298*0.1*0.01*7.85*0.001/(S$16*S$17)),0)</f>
        <v>0.14306959552105086</v>
      </c>
      <c r="T298" s="128">
        <f>IF(D$6=1,(PI()*(C298-(0.5*D298))*(Q298)*0.1*0.01*7.85*0.001/(T$16*T$17)),0)</f>
        <v>2.3111526869567305</v>
      </c>
      <c r="U298" s="145">
        <f>IF(D$6=1,0,(PI()*(C298-(2*D298)+(2*G298))*L298*0.1*0.01*7.85*0.001/(U$16*U$17)))</f>
        <v>0</v>
      </c>
      <c r="V298" s="145">
        <f>IF(D$6=1,0,(PI()*(C298-(0.5*D298))*(Q298)*0.1*0.01*7.85*0.001/(V$16*V$17)))</f>
        <v>0</v>
      </c>
      <c r="W298" s="128">
        <f t="shared" si="313"/>
        <v>0</v>
      </c>
      <c r="X298" t="str">
        <f t="shared" si="310"/>
        <v>289,52</v>
      </c>
      <c r="Y298" s="151">
        <f t="shared" si="311"/>
        <v>0.14306959552105086</v>
      </c>
      <c r="Z298" s="151">
        <f t="shared" si="312"/>
        <v>2.3111526869567305</v>
      </c>
    </row>
    <row r="299" spans="1:26" ht="12.75">
      <c r="A299" s="141">
        <f>+'SMAW-SMAW'!A299</f>
        <v>282</v>
      </c>
      <c r="B299" s="142">
        <v>28</v>
      </c>
      <c r="C299" s="143">
        <f>25.4*B299</f>
        <v>711.1999999999999</v>
      </c>
      <c r="D299" s="143">
        <v>12.7</v>
      </c>
      <c r="E299" s="144" t="s">
        <v>92</v>
      </c>
      <c r="F299" s="145">
        <f>IF($D$6=1,2,3)</f>
        <v>2</v>
      </c>
      <c r="G299" s="145">
        <f t="shared" si="329"/>
        <v>2</v>
      </c>
      <c r="H299" s="145">
        <f>IF(D299&lt;=19,2,3)</f>
        <v>2</v>
      </c>
      <c r="I299" s="146">
        <f>IF(D299&lt;=19,(D299-G299)*TAN($C$8*PI()/180),(19-G299)*TAN($C$8*PI()/180))</f>
        <v>8.210398771374875</v>
      </c>
      <c r="J299" s="147"/>
      <c r="K299" s="145">
        <f>IF(D299&lt;=19,0,(D299-19)*TAN($C$10*PI()/180))</f>
        <v>0</v>
      </c>
      <c r="L299" s="145">
        <f>+F299*(G299*1.5)</f>
        <v>6</v>
      </c>
      <c r="M299" s="145">
        <f>+F299*(D299-G299)</f>
        <v>21.4</v>
      </c>
      <c r="N299" s="145">
        <f>IF(D299&lt;=19,(D299-G299)*I299,(19-G299)*I299)</f>
        <v>87.85126685371115</v>
      </c>
      <c r="O299" s="145">
        <f>IF(D299&lt;=19,0,(I299*(D299-19)*2)+((K299)*(D299-19)))</f>
        <v>0</v>
      </c>
      <c r="P299" s="145">
        <f>+(5+F299+(2*(I299+K299)))*H299</f>
        <v>46.8415950854995</v>
      </c>
      <c r="Q299" s="147">
        <f>SUM(M299:P299)</f>
        <v>156.09286193921065</v>
      </c>
      <c r="R299" s="147"/>
      <c r="S299" s="128">
        <f>IF(D$6=1,(PI()*(C299-(2*D299)+(2*G299))*L299*0.1*0.01*7.85*0.001/(S$16*S$17)),0)</f>
        <v>0.14176253589752477</v>
      </c>
      <c r="T299" s="128">
        <f>IF(D$6=1,(PI()*(C299-(0.5*D299))*(Q299)*0.1*0.01*7.85*0.001/(T$16*T$17)),0)</f>
        <v>3.768484909280887</v>
      </c>
      <c r="U299" s="145">
        <f>IF(D$6=1,0,(PI()*(C299-(2*D299)+(2*G299))*L299*0.1*0.01*7.85*0.001/(U$16*U$17)))</f>
        <v>0</v>
      </c>
      <c r="V299" s="145">
        <f>IF(D$6=1,0,(PI()*(C299-(0.5*D299))*(Q299)*0.1*0.01*7.85*0.001/(V$16*V$17)))</f>
        <v>0</v>
      </c>
      <c r="W299" s="128">
        <f t="shared" si="313"/>
        <v>0</v>
      </c>
      <c r="X299" t="str">
        <f t="shared" si="310"/>
        <v>2812,7</v>
      </c>
      <c r="Y299" s="151">
        <f t="shared" si="311"/>
        <v>0.14176253589752477</v>
      </c>
      <c r="Z299" s="151">
        <f t="shared" si="312"/>
        <v>3.768484909280887</v>
      </c>
    </row>
    <row r="300" spans="1:26" ht="12.75">
      <c r="A300" s="141">
        <f>+'SMAW-SMAW'!A300</f>
        <v>283</v>
      </c>
      <c r="B300" s="142">
        <v>28</v>
      </c>
      <c r="C300" s="143">
        <f>25.4*B300</f>
        <v>711.1999999999999</v>
      </c>
      <c r="D300" s="143">
        <v>12.7</v>
      </c>
      <c r="E300" s="144" t="s">
        <v>82</v>
      </c>
      <c r="F300" s="145">
        <f>IF($D$6=1,2,3)</f>
        <v>2</v>
      </c>
      <c r="G300" s="145">
        <f t="shared" si="329"/>
        <v>2</v>
      </c>
      <c r="H300" s="145">
        <f>IF(D300&lt;=19,2,3)</f>
        <v>2</v>
      </c>
      <c r="I300" s="146">
        <f>IF(D300&lt;=19,(D300-G300)*TAN($C$8*PI()/180),(19-G300)*TAN($C$8*PI()/180))</f>
        <v>8.210398771374875</v>
      </c>
      <c r="J300" s="147"/>
      <c r="K300" s="145">
        <f>IF(D300&lt;=19,0,(D300-19)*TAN($C$10*PI()/180))</f>
        <v>0</v>
      </c>
      <c r="L300" s="145">
        <f>+F300*(G300*1.5)</f>
        <v>6</v>
      </c>
      <c r="M300" s="145">
        <f>+F300*(D300-G300)</f>
        <v>21.4</v>
      </c>
      <c r="N300" s="145">
        <f>IF(D300&lt;=19,(D300-G300)*I300,(19-G300)*I300)</f>
        <v>87.85126685371115</v>
      </c>
      <c r="O300" s="145">
        <f>IF(D300&lt;=19,0,(I300*(D300-19)*2)+((K300)*(D300-19)))</f>
        <v>0</v>
      </c>
      <c r="P300" s="145">
        <f>+(5+F300+(2*(I300+K300)))*H300</f>
        <v>46.8415950854995</v>
      </c>
      <c r="Q300" s="147">
        <f>SUM(M300:P300)</f>
        <v>156.09286193921065</v>
      </c>
      <c r="R300" s="147"/>
      <c r="S300" s="128">
        <f>IF(D$6=1,(PI()*(C300-(2*D300)+(2*G300))*L300*0.1*0.01*7.85*0.001/(S$16*S$17)),0)</f>
        <v>0.14176253589752477</v>
      </c>
      <c r="T300" s="128">
        <f>IF(D$6=1,(PI()*(C300-(0.5*D300))*(Q300)*0.1*0.01*7.85*0.001/(T$16*T$17)),0)</f>
        <v>3.768484909280887</v>
      </c>
      <c r="U300" s="145">
        <f>IF(D$6=1,0,(PI()*(C300-(2*D300)+(2*G300))*L300*0.1*0.01*7.85*0.001/(U$16*U$17)))</f>
        <v>0</v>
      </c>
      <c r="V300" s="145">
        <f>IF(D$6=1,0,(PI()*(C300-(0.5*D300))*(Q300)*0.1*0.01*7.85*0.001/(V$16*V$17)))</f>
        <v>0</v>
      </c>
      <c r="W300" s="128">
        <f t="shared" si="313"/>
        <v>0</v>
      </c>
      <c r="X300" t="str">
        <f t="shared" si="310"/>
        <v>2812,7</v>
      </c>
      <c r="Y300" s="151">
        <f t="shared" si="311"/>
        <v>0.14176253589752477</v>
      </c>
      <c r="Z300" s="151">
        <f t="shared" si="312"/>
        <v>3.768484909280887</v>
      </c>
    </row>
    <row r="301" spans="1:26" ht="12.75">
      <c r="A301" s="141">
        <f>+'SMAW-SMAW'!A301</f>
        <v>284</v>
      </c>
      <c r="B301" s="142">
        <v>28</v>
      </c>
      <c r="C301" s="143">
        <f>25.4*B301</f>
        <v>711.1999999999999</v>
      </c>
      <c r="D301" s="143">
        <v>15.88</v>
      </c>
      <c r="E301" s="144" t="s">
        <v>93</v>
      </c>
      <c r="F301" s="145">
        <f>IF($D$6=1,2,3)</f>
        <v>2</v>
      </c>
      <c r="G301" s="145">
        <f t="shared" si="329"/>
        <v>2</v>
      </c>
      <c r="H301" s="145">
        <f>IF(D301&lt;=19,2,3)</f>
        <v>2</v>
      </c>
      <c r="I301" s="146">
        <f>IF(D301&lt;=19,(D301-G301)*TAN($C$8*PI()/180),(19-G301)*TAN($C$8*PI()/180))</f>
        <v>10.65049859314797</v>
      </c>
      <c r="J301" s="147"/>
      <c r="K301" s="145">
        <f>IF(D301&lt;=19,0,(D301-19)*TAN($C$10*PI()/180))</f>
        <v>0</v>
      </c>
      <c r="L301" s="145">
        <f>+F301*(G301*1.5)</f>
        <v>6</v>
      </c>
      <c r="M301" s="145">
        <f>+F301*(D301-G301)</f>
        <v>27.76</v>
      </c>
      <c r="N301" s="145">
        <f>IF(D301&lt;=19,(D301-G301)*I301,(19-G301)*I301)</f>
        <v>147.82892047289383</v>
      </c>
      <c r="O301" s="145">
        <f>IF(D301&lt;=19,0,(I301*(D301-19)*2)+((K301)*(D301-19)))</f>
        <v>0</v>
      </c>
      <c r="P301" s="145">
        <f>+(5+F301+(2*(I301+K301)))*H301</f>
        <v>56.60199437259188</v>
      </c>
      <c r="Q301" s="147">
        <f>SUM(M301:P301)</f>
        <v>232.1909148454857</v>
      </c>
      <c r="R301" s="147"/>
      <c r="S301" s="128">
        <f>IF(D$6=1,(PI()*(C301-(2*D301)+(2*G301))*L301*0.1*0.01*7.85*0.001/(S$16*S$17)),0)</f>
        <v>0.14045547627399876</v>
      </c>
      <c r="T301" s="128">
        <f>IF(D$6=1,(PI()*(C301-(0.5*D301))*(Q301)*0.1*0.01*7.85*0.001/(T$16*T$17)),0)</f>
        <v>5.5930431773123646</v>
      </c>
      <c r="U301" s="145">
        <f>IF(D$6=1,0,(PI()*(C301-(2*D301)+(2*G301))*L301*0.1*0.01*7.85*0.001/(U$16*U$17)))</f>
        <v>0</v>
      </c>
      <c r="V301" s="145">
        <f>IF(D$6=1,0,(PI()*(C301-(0.5*D301))*(Q301)*0.1*0.01*7.85*0.001/(V$16*V$17)))</f>
        <v>0</v>
      </c>
      <c r="W301" s="128">
        <f t="shared" si="313"/>
        <v>0</v>
      </c>
      <c r="X301" t="str">
        <f t="shared" si="310"/>
        <v>2815,88</v>
      </c>
      <c r="Y301" s="151">
        <f t="shared" si="311"/>
        <v>0.14045547627399876</v>
      </c>
      <c r="Z301" s="151">
        <f t="shared" si="312"/>
        <v>5.5930431773123646</v>
      </c>
    </row>
    <row r="302" spans="1:26" ht="12.75">
      <c r="A302" s="141">
        <f>+'SMAW-SMAW'!A302</f>
        <v>285</v>
      </c>
      <c r="B302" s="142"/>
      <c r="C302" s="143"/>
      <c r="D302" s="143"/>
      <c r="E302" s="144"/>
      <c r="F302" s="145"/>
      <c r="G302" s="145">
        <f t="shared" si="329"/>
        <v>0</v>
      </c>
      <c r="H302" s="145"/>
      <c r="I302" s="146"/>
      <c r="J302" s="147"/>
      <c r="K302" s="145"/>
      <c r="L302" s="145"/>
      <c r="M302" s="145"/>
      <c r="N302" s="145"/>
      <c r="O302" s="145"/>
      <c r="P302" s="145"/>
      <c r="Q302" s="147"/>
      <c r="R302" s="147"/>
      <c r="S302" s="128"/>
      <c r="T302" s="128"/>
      <c r="U302" s="145"/>
      <c r="V302" s="145"/>
      <c r="W302" s="128">
        <f t="shared" si="313"/>
        <v>0</v>
      </c>
      <c r="X302">
        <f t="shared" si="310"/>
      </c>
      <c r="Y302" s="151">
        <f t="shared" si="311"/>
        <v>0</v>
      </c>
      <c r="Z302" s="151">
        <f t="shared" si="312"/>
        <v>0</v>
      </c>
    </row>
    <row r="303" spans="1:26" ht="12.75">
      <c r="A303" s="141">
        <f>+'SMAW-SMAW'!A303</f>
        <v>286</v>
      </c>
      <c r="B303" s="142">
        <v>30</v>
      </c>
      <c r="C303" s="143">
        <f aca="true" t="shared" si="330" ref="C303:C309">25.4*B303</f>
        <v>762</v>
      </c>
      <c r="D303" s="143">
        <v>6.35</v>
      </c>
      <c r="E303" s="144" t="s">
        <v>81</v>
      </c>
      <c r="F303" s="145">
        <f aca="true" t="shared" si="331" ref="F303:F309">IF($D$6=1,2,3)</f>
        <v>2</v>
      </c>
      <c r="G303" s="145">
        <f t="shared" si="329"/>
        <v>2</v>
      </c>
      <c r="H303" s="145">
        <f aca="true" t="shared" si="332" ref="H303:H309">IF(D303&lt;=19,2,3)</f>
        <v>2</v>
      </c>
      <c r="I303" s="146">
        <f aca="true" t="shared" si="333" ref="I303:I309">IF(D303&lt;=19,(D303-G303)*TAN($C$8*PI()/180),(19-G303)*TAN($C$8*PI()/180))</f>
        <v>3.337872397708477</v>
      </c>
      <c r="J303" s="147"/>
      <c r="K303" s="145">
        <f aca="true" t="shared" si="334" ref="K303:K309">IF(D303&lt;=19,0,(D303-19)*TAN($C$10*PI()/180))</f>
        <v>0</v>
      </c>
      <c r="L303" s="145">
        <f aca="true" t="shared" si="335" ref="L303:L309">+F303*(G303*1.5)</f>
        <v>6</v>
      </c>
      <c r="M303" s="145">
        <f aca="true" t="shared" si="336" ref="M303:M309">+F303*(D303-G303)</f>
        <v>8.7</v>
      </c>
      <c r="N303" s="145">
        <f aca="true" t="shared" si="337" ref="N303:N309">IF(D303&lt;=19,(D303-G303)*I303,(19-G303)*I303)</f>
        <v>14.519744930031875</v>
      </c>
      <c r="O303" s="145">
        <f aca="true" t="shared" si="338" ref="O303:O309">IF(D303&lt;=19,0,(I303*(D303-19)*2)+((K303)*(D303-19)))</f>
        <v>0</v>
      </c>
      <c r="P303" s="145">
        <f aca="true" t="shared" si="339" ref="P303:P309">+(5+F303+(2*(I303+K303)))*H303</f>
        <v>27.351489590833907</v>
      </c>
      <c r="Q303" s="147">
        <f aca="true" t="shared" si="340" ref="Q303:Q309">SUM(M303:P303)</f>
        <v>50.57123452086578</v>
      </c>
      <c r="R303" s="147"/>
      <c r="S303" s="128">
        <f aca="true" t="shared" si="341" ref="S303:S309">IF(D$6=1,(PI()*(C303-(2*D303)+(2*G303))*L303*0.1*0.01*7.85*0.001/(S$16*S$17)),0)</f>
        <v>0.1548125808808429</v>
      </c>
      <c r="T303" s="128">
        <f aca="true" t="shared" si="342" ref="T303:T309">IF(D$6=1,(PI()*(C303-(0.5*D303))*(Q303)*0.1*0.01*7.85*0.001/(T$16*T$17)),0)</f>
        <v>1.3144141300071286</v>
      </c>
      <c r="U303" s="145">
        <f aca="true" t="shared" si="343" ref="U303:U309">IF(D$6=1,0,(PI()*(C303-(2*D303)+(2*G303))*L303*0.1*0.01*7.85*0.001/(U$16*U$17)))</f>
        <v>0</v>
      </c>
      <c r="V303" s="145">
        <f aca="true" t="shared" si="344" ref="V303:V309">IF(D$6=1,0,(PI()*(C303-(0.5*D303))*(Q303)*0.1*0.01*7.85*0.001/(V$16*V$17)))</f>
        <v>0</v>
      </c>
      <c r="W303" s="128">
        <f t="shared" si="313"/>
        <v>0</v>
      </c>
      <c r="X303" t="str">
        <f t="shared" si="310"/>
        <v>306,35</v>
      </c>
      <c r="Y303" s="151">
        <f t="shared" si="311"/>
        <v>0.1548125808808429</v>
      </c>
      <c r="Z303" s="151">
        <f t="shared" si="312"/>
        <v>1.3144141300071286</v>
      </c>
    </row>
    <row r="304" spans="1:26" ht="12.75">
      <c r="A304" s="141">
        <f>+'SMAW-SMAW'!A304</f>
        <v>287</v>
      </c>
      <c r="B304" s="142">
        <v>30</v>
      </c>
      <c r="C304" s="143">
        <f t="shared" si="330"/>
        <v>762</v>
      </c>
      <c r="D304" s="143">
        <v>7.92</v>
      </c>
      <c r="E304" s="144" t="s">
        <v>84</v>
      </c>
      <c r="F304" s="145">
        <f t="shared" si="331"/>
        <v>2</v>
      </c>
      <c r="G304" s="145">
        <f t="shared" si="329"/>
        <v>2</v>
      </c>
      <c r="H304" s="145">
        <f t="shared" si="332"/>
        <v>2</v>
      </c>
      <c r="I304" s="146">
        <f t="shared" si="333"/>
        <v>4.542575768835445</v>
      </c>
      <c r="J304" s="147"/>
      <c r="K304" s="145">
        <f t="shared" si="334"/>
        <v>0</v>
      </c>
      <c r="L304" s="145">
        <f t="shared" si="335"/>
        <v>6</v>
      </c>
      <c r="M304" s="145">
        <f t="shared" si="336"/>
        <v>11.84</v>
      </c>
      <c r="N304" s="145">
        <f t="shared" si="337"/>
        <v>26.892048551505837</v>
      </c>
      <c r="O304" s="145">
        <f t="shared" si="338"/>
        <v>0</v>
      </c>
      <c r="P304" s="145">
        <f t="shared" si="339"/>
        <v>32.17030307534178</v>
      </c>
      <c r="Q304" s="147">
        <f t="shared" si="340"/>
        <v>70.90235162684762</v>
      </c>
      <c r="R304" s="147"/>
      <c r="S304" s="128">
        <f t="shared" si="341"/>
        <v>0.1541672715698568</v>
      </c>
      <c r="T304" s="128">
        <f t="shared" si="342"/>
        <v>1.8409406845023684</v>
      </c>
      <c r="U304" s="145">
        <f t="shared" si="343"/>
        <v>0</v>
      </c>
      <c r="V304" s="145">
        <f t="shared" si="344"/>
        <v>0</v>
      </c>
      <c r="W304" s="128">
        <f t="shared" si="313"/>
        <v>0</v>
      </c>
      <c r="X304" t="str">
        <f t="shared" si="310"/>
        <v>307,92</v>
      </c>
      <c r="Y304" s="151">
        <f t="shared" si="311"/>
        <v>0.1541672715698568</v>
      </c>
      <c r="Z304" s="151">
        <f t="shared" si="312"/>
        <v>1.8409406845023684</v>
      </c>
    </row>
    <row r="305" spans="1:26" ht="12.75">
      <c r="A305" s="141">
        <f>+'SMAW-SMAW'!A305</f>
        <v>288</v>
      </c>
      <c r="B305" s="142">
        <v>30</v>
      </c>
      <c r="C305" s="143">
        <f t="shared" si="330"/>
        <v>762</v>
      </c>
      <c r="D305" s="143">
        <v>7.92</v>
      </c>
      <c r="E305" s="144" t="s">
        <v>97</v>
      </c>
      <c r="F305" s="145">
        <f t="shared" si="331"/>
        <v>2</v>
      </c>
      <c r="G305" s="145">
        <f t="shared" si="329"/>
        <v>2</v>
      </c>
      <c r="H305" s="145">
        <f t="shared" si="332"/>
        <v>2</v>
      </c>
      <c r="I305" s="146">
        <f t="shared" si="333"/>
        <v>4.542575768835445</v>
      </c>
      <c r="J305" s="147"/>
      <c r="K305" s="145">
        <f t="shared" si="334"/>
        <v>0</v>
      </c>
      <c r="L305" s="145">
        <f t="shared" si="335"/>
        <v>6</v>
      </c>
      <c r="M305" s="145">
        <f t="shared" si="336"/>
        <v>11.84</v>
      </c>
      <c r="N305" s="145">
        <f t="shared" si="337"/>
        <v>26.892048551505837</v>
      </c>
      <c r="O305" s="145">
        <f t="shared" si="338"/>
        <v>0</v>
      </c>
      <c r="P305" s="145">
        <f t="shared" si="339"/>
        <v>32.17030307534178</v>
      </c>
      <c r="Q305" s="147">
        <f t="shared" si="340"/>
        <v>70.90235162684762</v>
      </c>
      <c r="R305" s="147"/>
      <c r="S305" s="128">
        <f t="shared" si="341"/>
        <v>0.1541672715698568</v>
      </c>
      <c r="T305" s="128">
        <f t="shared" si="342"/>
        <v>1.8409406845023684</v>
      </c>
      <c r="U305" s="145">
        <f t="shared" si="343"/>
        <v>0</v>
      </c>
      <c r="V305" s="145">
        <f t="shared" si="344"/>
        <v>0</v>
      </c>
      <c r="W305" s="128">
        <f t="shared" si="313"/>
        <v>0</v>
      </c>
      <c r="X305" t="str">
        <f t="shared" si="310"/>
        <v>307,92</v>
      </c>
      <c r="Y305" s="151">
        <f t="shared" si="311"/>
        <v>0.1541672715698568</v>
      </c>
      <c r="Z305" s="151">
        <f t="shared" si="312"/>
        <v>1.8409406845023684</v>
      </c>
    </row>
    <row r="306" spans="1:26" ht="12.75">
      <c r="A306" s="141">
        <f>+'SMAW-SMAW'!A306</f>
        <v>289</v>
      </c>
      <c r="B306" s="142">
        <v>30</v>
      </c>
      <c r="C306" s="143">
        <f t="shared" si="330"/>
        <v>762</v>
      </c>
      <c r="D306" s="143">
        <v>9.52</v>
      </c>
      <c r="E306" s="144" t="s">
        <v>86</v>
      </c>
      <c r="F306" s="145">
        <f t="shared" si="331"/>
        <v>2</v>
      </c>
      <c r="G306" s="145">
        <f t="shared" si="329"/>
        <v>2</v>
      </c>
      <c r="H306" s="145">
        <f t="shared" si="332"/>
        <v>2</v>
      </c>
      <c r="I306" s="146">
        <f t="shared" si="333"/>
        <v>5.770298949601782</v>
      </c>
      <c r="J306" s="147"/>
      <c r="K306" s="145">
        <f t="shared" si="334"/>
        <v>0</v>
      </c>
      <c r="L306" s="145">
        <f t="shared" si="335"/>
        <v>6</v>
      </c>
      <c r="M306" s="145">
        <f t="shared" si="336"/>
        <v>15.04</v>
      </c>
      <c r="N306" s="145">
        <f t="shared" si="337"/>
        <v>43.39264810100539</v>
      </c>
      <c r="O306" s="145">
        <f t="shared" si="338"/>
        <v>0</v>
      </c>
      <c r="P306" s="145">
        <f t="shared" si="339"/>
        <v>37.08119579840712</v>
      </c>
      <c r="Q306" s="147">
        <f t="shared" si="340"/>
        <v>95.5138438994125</v>
      </c>
      <c r="R306" s="147"/>
      <c r="S306" s="128">
        <f t="shared" si="341"/>
        <v>0.15350963150770536</v>
      </c>
      <c r="T306" s="128">
        <f t="shared" si="342"/>
        <v>2.4773473482123256</v>
      </c>
      <c r="U306" s="145">
        <f t="shared" si="343"/>
        <v>0</v>
      </c>
      <c r="V306" s="145">
        <f t="shared" si="344"/>
        <v>0</v>
      </c>
      <c r="W306" s="128">
        <f t="shared" si="313"/>
        <v>0</v>
      </c>
      <c r="X306" t="str">
        <f t="shared" si="310"/>
        <v>309,52</v>
      </c>
      <c r="Y306" s="151">
        <f t="shared" si="311"/>
        <v>0.15350963150770536</v>
      </c>
      <c r="Z306" s="151">
        <f t="shared" si="312"/>
        <v>2.4773473482123256</v>
      </c>
    </row>
    <row r="307" spans="1:26" ht="12.75">
      <c r="A307" s="141">
        <f>+'SMAW-SMAW'!A307</f>
        <v>290</v>
      </c>
      <c r="B307" s="142">
        <v>30</v>
      </c>
      <c r="C307" s="143">
        <f t="shared" si="330"/>
        <v>762</v>
      </c>
      <c r="D307" s="143">
        <v>12.7</v>
      </c>
      <c r="E307" s="144" t="s">
        <v>92</v>
      </c>
      <c r="F307" s="145">
        <f t="shared" si="331"/>
        <v>2</v>
      </c>
      <c r="G307" s="145">
        <f t="shared" si="329"/>
        <v>2</v>
      </c>
      <c r="H307" s="145">
        <f t="shared" si="332"/>
        <v>2</v>
      </c>
      <c r="I307" s="146">
        <f t="shared" si="333"/>
        <v>8.210398771374875</v>
      </c>
      <c r="J307" s="147"/>
      <c r="K307" s="145">
        <f t="shared" si="334"/>
        <v>0</v>
      </c>
      <c r="L307" s="145">
        <f t="shared" si="335"/>
        <v>6</v>
      </c>
      <c r="M307" s="145">
        <f t="shared" si="336"/>
        <v>21.4</v>
      </c>
      <c r="N307" s="145">
        <f t="shared" si="337"/>
        <v>87.85126685371115</v>
      </c>
      <c r="O307" s="145">
        <f t="shared" si="338"/>
        <v>0</v>
      </c>
      <c r="P307" s="145">
        <f t="shared" si="339"/>
        <v>46.8415950854995</v>
      </c>
      <c r="Q307" s="147">
        <f t="shared" si="340"/>
        <v>156.09286193921065</v>
      </c>
      <c r="R307" s="147"/>
      <c r="S307" s="128">
        <f t="shared" si="341"/>
        <v>0.15220257188417932</v>
      </c>
      <c r="T307" s="128">
        <f t="shared" si="342"/>
        <v>4.040087425265095</v>
      </c>
      <c r="U307" s="145">
        <f t="shared" si="343"/>
        <v>0</v>
      </c>
      <c r="V307" s="145">
        <f t="shared" si="344"/>
        <v>0</v>
      </c>
      <c r="W307" s="128">
        <f t="shared" si="313"/>
        <v>0</v>
      </c>
      <c r="X307" t="str">
        <f t="shared" si="310"/>
        <v>3012,7</v>
      </c>
      <c r="Y307" s="151">
        <f t="shared" si="311"/>
        <v>0.15220257188417932</v>
      </c>
      <c r="Z307" s="151">
        <f t="shared" si="312"/>
        <v>4.040087425265095</v>
      </c>
    </row>
    <row r="308" spans="1:26" ht="12.75">
      <c r="A308" s="141">
        <f>+'SMAW-SMAW'!A308</f>
        <v>291</v>
      </c>
      <c r="B308" s="142">
        <v>30</v>
      </c>
      <c r="C308" s="143">
        <f t="shared" si="330"/>
        <v>762</v>
      </c>
      <c r="D308" s="143">
        <v>12.7</v>
      </c>
      <c r="E308" s="144" t="s">
        <v>82</v>
      </c>
      <c r="F308" s="145">
        <f t="shared" si="331"/>
        <v>2</v>
      </c>
      <c r="G308" s="145">
        <f t="shared" si="329"/>
        <v>2</v>
      </c>
      <c r="H308" s="145">
        <f t="shared" si="332"/>
        <v>2</v>
      </c>
      <c r="I308" s="146">
        <f t="shared" si="333"/>
        <v>8.210398771374875</v>
      </c>
      <c r="J308" s="147"/>
      <c r="K308" s="145">
        <f t="shared" si="334"/>
        <v>0</v>
      </c>
      <c r="L308" s="145">
        <f t="shared" si="335"/>
        <v>6</v>
      </c>
      <c r="M308" s="145">
        <f t="shared" si="336"/>
        <v>21.4</v>
      </c>
      <c r="N308" s="145">
        <f t="shared" si="337"/>
        <v>87.85126685371115</v>
      </c>
      <c r="O308" s="145">
        <f t="shared" si="338"/>
        <v>0</v>
      </c>
      <c r="P308" s="145">
        <f t="shared" si="339"/>
        <v>46.8415950854995</v>
      </c>
      <c r="Q308" s="147">
        <f t="shared" si="340"/>
        <v>156.09286193921065</v>
      </c>
      <c r="R308" s="147"/>
      <c r="S308" s="128">
        <f t="shared" si="341"/>
        <v>0.15220257188417932</v>
      </c>
      <c r="T308" s="128">
        <f t="shared" si="342"/>
        <v>4.040087425265095</v>
      </c>
      <c r="U308" s="145">
        <f t="shared" si="343"/>
        <v>0</v>
      </c>
      <c r="V308" s="145">
        <f t="shared" si="344"/>
        <v>0</v>
      </c>
      <c r="W308" s="128">
        <f t="shared" si="313"/>
        <v>0</v>
      </c>
      <c r="X308" t="str">
        <f t="shared" si="310"/>
        <v>3012,7</v>
      </c>
      <c r="Y308" s="151">
        <f t="shared" si="311"/>
        <v>0.15220257188417932</v>
      </c>
      <c r="Z308" s="151">
        <f t="shared" si="312"/>
        <v>4.040087425265095</v>
      </c>
    </row>
    <row r="309" spans="1:26" ht="12.75">
      <c r="A309" s="141">
        <f>+'SMAW-SMAW'!A309</f>
        <v>292</v>
      </c>
      <c r="B309" s="142">
        <v>30</v>
      </c>
      <c r="C309" s="143">
        <f t="shared" si="330"/>
        <v>762</v>
      </c>
      <c r="D309" s="143">
        <v>15.88</v>
      </c>
      <c r="E309" s="144" t="s">
        <v>93</v>
      </c>
      <c r="F309" s="145">
        <f t="shared" si="331"/>
        <v>2</v>
      </c>
      <c r="G309" s="145">
        <f t="shared" si="329"/>
        <v>2</v>
      </c>
      <c r="H309" s="145">
        <f t="shared" si="332"/>
        <v>2</v>
      </c>
      <c r="I309" s="146">
        <f t="shared" si="333"/>
        <v>10.65049859314797</v>
      </c>
      <c r="J309" s="147"/>
      <c r="K309" s="145">
        <f t="shared" si="334"/>
        <v>0</v>
      </c>
      <c r="L309" s="145">
        <f t="shared" si="335"/>
        <v>6</v>
      </c>
      <c r="M309" s="145">
        <f t="shared" si="336"/>
        <v>27.76</v>
      </c>
      <c r="N309" s="145">
        <f t="shared" si="337"/>
        <v>147.82892047289383</v>
      </c>
      <c r="O309" s="145">
        <f t="shared" si="338"/>
        <v>0</v>
      </c>
      <c r="P309" s="145">
        <f t="shared" si="339"/>
        <v>56.60199437259188</v>
      </c>
      <c r="Q309" s="147">
        <f t="shared" si="340"/>
        <v>232.1909148454857</v>
      </c>
      <c r="R309" s="147"/>
      <c r="S309" s="128">
        <f t="shared" si="341"/>
        <v>0.15089551226065326</v>
      </c>
      <c r="T309" s="128">
        <f t="shared" si="342"/>
        <v>5.997056761772549</v>
      </c>
      <c r="U309" s="145">
        <f t="shared" si="343"/>
        <v>0</v>
      </c>
      <c r="V309" s="145">
        <f t="shared" si="344"/>
        <v>0</v>
      </c>
      <c r="W309" s="128">
        <f t="shared" si="313"/>
        <v>0</v>
      </c>
      <c r="X309" t="str">
        <f t="shared" si="310"/>
        <v>3015,88</v>
      </c>
      <c r="Y309" s="151">
        <f t="shared" si="311"/>
        <v>0.15089551226065326</v>
      </c>
      <c r="Z309" s="151">
        <f t="shared" si="312"/>
        <v>5.997056761772549</v>
      </c>
    </row>
    <row r="310" spans="1:26" ht="12.75">
      <c r="A310" s="141">
        <f>+'SMAW-SMAW'!A310</f>
        <v>293</v>
      </c>
      <c r="B310" s="142"/>
      <c r="C310" s="143"/>
      <c r="D310" s="143"/>
      <c r="E310" s="144"/>
      <c r="F310" s="145"/>
      <c r="G310" s="145">
        <f t="shared" si="329"/>
        <v>0</v>
      </c>
      <c r="H310" s="145"/>
      <c r="I310" s="146"/>
      <c r="J310" s="147"/>
      <c r="K310" s="145"/>
      <c r="L310" s="145"/>
      <c r="M310" s="145"/>
      <c r="N310" s="145"/>
      <c r="O310" s="145"/>
      <c r="P310" s="145"/>
      <c r="Q310" s="147"/>
      <c r="R310" s="147"/>
      <c r="S310" s="128"/>
      <c r="T310" s="128"/>
      <c r="U310" s="145"/>
      <c r="V310" s="145"/>
      <c r="W310" s="128">
        <f t="shared" si="313"/>
        <v>0</v>
      </c>
      <c r="X310">
        <f t="shared" si="310"/>
      </c>
      <c r="Y310" s="151">
        <f t="shared" si="311"/>
        <v>0</v>
      </c>
      <c r="Z310" s="151">
        <f t="shared" si="312"/>
        <v>0</v>
      </c>
    </row>
    <row r="311" spans="1:26" ht="12.75">
      <c r="A311" s="141">
        <f>+'SMAW-SMAW'!A311</f>
        <v>294</v>
      </c>
      <c r="B311" s="142">
        <v>32</v>
      </c>
      <c r="C311" s="143">
        <f aca="true" t="shared" si="345" ref="C311:C316">25.4*B311</f>
        <v>812.8</v>
      </c>
      <c r="D311" s="143">
        <v>7.92</v>
      </c>
      <c r="E311" s="144" t="s">
        <v>97</v>
      </c>
      <c r="F311" s="145">
        <f aca="true" t="shared" si="346" ref="F311:F316">IF($D$6=1,2,3)</f>
        <v>2</v>
      </c>
      <c r="G311" s="145">
        <f t="shared" si="329"/>
        <v>2</v>
      </c>
      <c r="H311" s="145">
        <f aca="true" t="shared" si="347" ref="H311:H316">IF(D311&lt;=19,2,3)</f>
        <v>2</v>
      </c>
      <c r="I311" s="146">
        <f aca="true" t="shared" si="348" ref="I311:I316">IF(D311&lt;=19,(D311-G311)*TAN($C$8*PI()/180),(19-G311)*TAN($C$8*PI()/180))</f>
        <v>4.542575768835445</v>
      </c>
      <c r="J311" s="147"/>
      <c r="K311" s="145">
        <f aca="true" t="shared" si="349" ref="K311:K316">IF(D311&lt;=19,0,(D311-19)*TAN($C$10*PI()/180))</f>
        <v>0</v>
      </c>
      <c r="L311" s="145">
        <f aca="true" t="shared" si="350" ref="L311:L316">+F311*(G311*1.5)</f>
        <v>6</v>
      </c>
      <c r="M311" s="145">
        <f aca="true" t="shared" si="351" ref="M311:M316">+F311*(D311-G311)</f>
        <v>11.84</v>
      </c>
      <c r="N311" s="145">
        <f aca="true" t="shared" si="352" ref="N311:N316">IF(D311&lt;=19,(D311-G311)*I311,(19-G311)*I311)</f>
        <v>26.892048551505837</v>
      </c>
      <c r="O311" s="145">
        <f aca="true" t="shared" si="353" ref="O311:O316">IF(D311&lt;=19,0,(I311*(D311-19)*2)+((K311)*(D311-19)))</f>
        <v>0</v>
      </c>
      <c r="P311" s="145">
        <f aca="true" t="shared" si="354" ref="P311:P316">+(5+F311+(2*(I311+K311)))*H311</f>
        <v>32.17030307534178</v>
      </c>
      <c r="Q311" s="147">
        <f aca="true" t="shared" si="355" ref="Q311:Q316">SUM(M311:P311)</f>
        <v>70.90235162684762</v>
      </c>
      <c r="R311" s="147"/>
      <c r="S311" s="128">
        <f aca="true" t="shared" si="356" ref="S311:S316">IF(D$6=1,(PI()*(C311-(2*D311)+(2*G311))*L311*0.1*0.01*7.85*0.001/(S$16*S$17)),0)</f>
        <v>0.1646073075565113</v>
      </c>
      <c r="T311" s="128">
        <f aca="true" t="shared" si="357" ref="T311:T316">IF(D$6=1,(PI()*(C311-(0.5*D311))*(Q311)*0.1*0.01*7.85*0.001/(T$16*T$17)),0)</f>
        <v>1.964311201589488</v>
      </c>
      <c r="U311" s="145">
        <f aca="true" t="shared" si="358" ref="U311:U316">IF(D$6=1,0,(PI()*(C311-(2*D311)+(2*G311))*L311*0.1*0.01*7.85*0.001/(U$16*U$17)))</f>
        <v>0</v>
      </c>
      <c r="V311" s="145">
        <f aca="true" t="shared" si="359" ref="V311:V316">IF(D$6=1,0,(PI()*(C311-(0.5*D311))*(Q311)*0.1*0.01*7.85*0.001/(V$16*V$17)))</f>
        <v>0</v>
      </c>
      <c r="W311" s="128">
        <f t="shared" si="313"/>
        <v>0</v>
      </c>
      <c r="X311" t="str">
        <f t="shared" si="310"/>
        <v>327,92</v>
      </c>
      <c r="Y311" s="151">
        <f t="shared" si="311"/>
        <v>0.1646073075565113</v>
      </c>
      <c r="Z311" s="151">
        <f t="shared" si="312"/>
        <v>1.964311201589488</v>
      </c>
    </row>
    <row r="312" spans="1:26" ht="12.75">
      <c r="A312" s="141">
        <f>+'SMAW-SMAW'!A312</f>
        <v>295</v>
      </c>
      <c r="B312" s="142">
        <v>32</v>
      </c>
      <c r="C312" s="143">
        <f t="shared" si="345"/>
        <v>812.8</v>
      </c>
      <c r="D312" s="143">
        <v>9.52</v>
      </c>
      <c r="E312" s="144" t="s">
        <v>86</v>
      </c>
      <c r="F312" s="145">
        <f t="shared" si="346"/>
        <v>2</v>
      </c>
      <c r="G312" s="145">
        <f t="shared" si="329"/>
        <v>2</v>
      </c>
      <c r="H312" s="145">
        <f t="shared" si="347"/>
        <v>2</v>
      </c>
      <c r="I312" s="146">
        <f t="shared" si="348"/>
        <v>5.770298949601782</v>
      </c>
      <c r="J312" s="147"/>
      <c r="K312" s="145">
        <f t="shared" si="349"/>
        <v>0</v>
      </c>
      <c r="L312" s="145">
        <f t="shared" si="350"/>
        <v>6</v>
      </c>
      <c r="M312" s="145">
        <f t="shared" si="351"/>
        <v>15.04</v>
      </c>
      <c r="N312" s="145">
        <f t="shared" si="352"/>
        <v>43.39264810100539</v>
      </c>
      <c r="O312" s="145">
        <f t="shared" si="353"/>
        <v>0</v>
      </c>
      <c r="P312" s="145">
        <f t="shared" si="354"/>
        <v>37.08119579840712</v>
      </c>
      <c r="Q312" s="147">
        <f t="shared" si="355"/>
        <v>95.5138438994125</v>
      </c>
      <c r="R312" s="147"/>
      <c r="S312" s="128">
        <f t="shared" si="356"/>
        <v>0.1639496674943598</v>
      </c>
      <c r="T312" s="128">
        <f t="shared" si="357"/>
        <v>2.6435420094679194</v>
      </c>
      <c r="U312" s="145">
        <f t="shared" si="358"/>
        <v>0</v>
      </c>
      <c r="V312" s="145">
        <f t="shared" si="359"/>
        <v>0</v>
      </c>
      <c r="W312" s="128">
        <f t="shared" si="313"/>
        <v>0</v>
      </c>
      <c r="X312" t="str">
        <f t="shared" si="310"/>
        <v>329,52</v>
      </c>
      <c r="Y312" s="151">
        <f t="shared" si="311"/>
        <v>0.1639496674943598</v>
      </c>
      <c r="Z312" s="151">
        <f t="shared" si="312"/>
        <v>2.6435420094679194</v>
      </c>
    </row>
    <row r="313" spans="1:26" ht="12.75">
      <c r="A313" s="141">
        <f>+'SMAW-SMAW'!A313</f>
        <v>296</v>
      </c>
      <c r="B313" s="142">
        <v>32</v>
      </c>
      <c r="C313" s="143">
        <f t="shared" si="345"/>
        <v>812.8</v>
      </c>
      <c r="D313" s="143">
        <v>12.7</v>
      </c>
      <c r="E313" s="144" t="s">
        <v>92</v>
      </c>
      <c r="F313" s="145">
        <f t="shared" si="346"/>
        <v>2</v>
      </c>
      <c r="G313" s="145">
        <f t="shared" si="329"/>
        <v>2</v>
      </c>
      <c r="H313" s="145">
        <f t="shared" si="347"/>
        <v>2</v>
      </c>
      <c r="I313" s="146">
        <f t="shared" si="348"/>
        <v>8.210398771374875</v>
      </c>
      <c r="J313" s="147"/>
      <c r="K313" s="145">
        <f t="shared" si="349"/>
        <v>0</v>
      </c>
      <c r="L313" s="145">
        <f t="shared" si="350"/>
        <v>6</v>
      </c>
      <c r="M313" s="145">
        <f t="shared" si="351"/>
        <v>21.4</v>
      </c>
      <c r="N313" s="145">
        <f t="shared" si="352"/>
        <v>87.85126685371115</v>
      </c>
      <c r="O313" s="145">
        <f t="shared" si="353"/>
        <v>0</v>
      </c>
      <c r="P313" s="145">
        <f t="shared" si="354"/>
        <v>46.8415950854995</v>
      </c>
      <c r="Q313" s="147">
        <f t="shared" si="355"/>
        <v>156.09286193921065</v>
      </c>
      <c r="R313" s="147"/>
      <c r="S313" s="128">
        <f t="shared" si="356"/>
        <v>0.16264260787083373</v>
      </c>
      <c r="T313" s="128">
        <f t="shared" si="357"/>
        <v>4.311689941249304</v>
      </c>
      <c r="U313" s="145">
        <f t="shared" si="358"/>
        <v>0</v>
      </c>
      <c r="V313" s="145">
        <f t="shared" si="359"/>
        <v>0</v>
      </c>
      <c r="W313" s="128">
        <f t="shared" si="313"/>
        <v>0</v>
      </c>
      <c r="X313" t="str">
        <f t="shared" si="310"/>
        <v>3212,7</v>
      </c>
      <c r="Y313" s="151">
        <f t="shared" si="311"/>
        <v>0.16264260787083373</v>
      </c>
      <c r="Z313" s="151">
        <f t="shared" si="312"/>
        <v>4.311689941249304</v>
      </c>
    </row>
    <row r="314" spans="1:26" ht="12.75">
      <c r="A314" s="141">
        <f>+'SMAW-SMAW'!A314</f>
        <v>297</v>
      </c>
      <c r="B314" s="142">
        <v>32</v>
      </c>
      <c r="C314" s="143">
        <f t="shared" si="345"/>
        <v>812.8</v>
      </c>
      <c r="D314" s="143">
        <v>12.7</v>
      </c>
      <c r="E314" s="144" t="s">
        <v>82</v>
      </c>
      <c r="F314" s="145">
        <f t="shared" si="346"/>
        <v>2</v>
      </c>
      <c r="G314" s="145">
        <f t="shared" si="329"/>
        <v>2</v>
      </c>
      <c r="H314" s="145">
        <f t="shared" si="347"/>
        <v>2</v>
      </c>
      <c r="I314" s="146">
        <f t="shared" si="348"/>
        <v>8.210398771374875</v>
      </c>
      <c r="J314" s="147"/>
      <c r="K314" s="145">
        <f t="shared" si="349"/>
        <v>0</v>
      </c>
      <c r="L314" s="145">
        <f t="shared" si="350"/>
        <v>6</v>
      </c>
      <c r="M314" s="145">
        <f t="shared" si="351"/>
        <v>21.4</v>
      </c>
      <c r="N314" s="145">
        <f t="shared" si="352"/>
        <v>87.85126685371115</v>
      </c>
      <c r="O314" s="145">
        <f t="shared" si="353"/>
        <v>0</v>
      </c>
      <c r="P314" s="145">
        <f t="shared" si="354"/>
        <v>46.8415950854995</v>
      </c>
      <c r="Q314" s="147">
        <f t="shared" si="355"/>
        <v>156.09286193921065</v>
      </c>
      <c r="R314" s="147"/>
      <c r="S314" s="128">
        <f t="shared" si="356"/>
        <v>0.16264260787083373</v>
      </c>
      <c r="T314" s="128">
        <f t="shared" si="357"/>
        <v>4.311689941249304</v>
      </c>
      <c r="U314" s="145">
        <f t="shared" si="358"/>
        <v>0</v>
      </c>
      <c r="V314" s="145">
        <f t="shared" si="359"/>
        <v>0</v>
      </c>
      <c r="W314" s="128">
        <f t="shared" si="313"/>
        <v>0</v>
      </c>
      <c r="X314" t="str">
        <f t="shared" si="310"/>
        <v>3212,7</v>
      </c>
      <c r="Y314" s="151">
        <f t="shared" si="311"/>
        <v>0.16264260787083373</v>
      </c>
      <c r="Z314" s="151">
        <f t="shared" si="312"/>
        <v>4.311689941249304</v>
      </c>
    </row>
    <row r="315" spans="1:26" ht="12.75">
      <c r="A315" s="141">
        <f>+'SMAW-SMAW'!A315</f>
        <v>298</v>
      </c>
      <c r="B315" s="142">
        <v>32</v>
      </c>
      <c r="C315" s="143">
        <f t="shared" si="345"/>
        <v>812.8</v>
      </c>
      <c r="D315" s="143">
        <v>15.89</v>
      </c>
      <c r="E315" s="144" t="s">
        <v>93</v>
      </c>
      <c r="F315" s="145">
        <f t="shared" si="346"/>
        <v>2</v>
      </c>
      <c r="G315" s="145">
        <f t="shared" si="329"/>
        <v>2</v>
      </c>
      <c r="H315" s="145">
        <f t="shared" si="347"/>
        <v>2</v>
      </c>
      <c r="I315" s="146">
        <f t="shared" si="348"/>
        <v>10.65817186302776</v>
      </c>
      <c r="J315" s="147"/>
      <c r="K315" s="145">
        <f t="shared" si="349"/>
        <v>0</v>
      </c>
      <c r="L315" s="145">
        <f t="shared" si="350"/>
        <v>6</v>
      </c>
      <c r="M315" s="145">
        <f t="shared" si="351"/>
        <v>27.78</v>
      </c>
      <c r="N315" s="145">
        <f t="shared" si="352"/>
        <v>148.0420071774556</v>
      </c>
      <c r="O315" s="145">
        <f t="shared" si="353"/>
        <v>0</v>
      </c>
      <c r="P315" s="145">
        <f t="shared" si="354"/>
        <v>56.63268745211104</v>
      </c>
      <c r="Q315" s="147">
        <f t="shared" si="355"/>
        <v>232.45469462956663</v>
      </c>
      <c r="R315" s="147"/>
      <c r="S315" s="128">
        <f t="shared" si="356"/>
        <v>0.1613314379969193</v>
      </c>
      <c r="T315" s="128">
        <f t="shared" si="357"/>
        <v>6.408302452479874</v>
      </c>
      <c r="U315" s="145">
        <f t="shared" si="358"/>
        <v>0</v>
      </c>
      <c r="V315" s="145">
        <f t="shared" si="359"/>
        <v>0</v>
      </c>
      <c r="W315" s="128">
        <f t="shared" si="313"/>
        <v>0</v>
      </c>
      <c r="X315" t="str">
        <f t="shared" si="310"/>
        <v>3215,89</v>
      </c>
      <c r="Y315" s="151">
        <f t="shared" si="311"/>
        <v>0.1613314379969193</v>
      </c>
      <c r="Z315" s="151">
        <f t="shared" si="312"/>
        <v>6.408302452479874</v>
      </c>
    </row>
    <row r="316" spans="1:26" ht="12.75">
      <c r="A316" s="141">
        <f>+'SMAW-SMAW'!A316</f>
        <v>299</v>
      </c>
      <c r="B316" s="142">
        <v>32</v>
      </c>
      <c r="C316" s="143">
        <f t="shared" si="345"/>
        <v>812.8</v>
      </c>
      <c r="D316" s="143">
        <v>17.48</v>
      </c>
      <c r="E316" s="144" t="s">
        <v>87</v>
      </c>
      <c r="F316" s="145">
        <f t="shared" si="346"/>
        <v>2</v>
      </c>
      <c r="G316" s="145">
        <f t="shared" si="329"/>
        <v>2</v>
      </c>
      <c r="H316" s="145">
        <f t="shared" si="347"/>
        <v>2</v>
      </c>
      <c r="I316" s="146">
        <f t="shared" si="348"/>
        <v>11.878221773914307</v>
      </c>
      <c r="J316" s="147"/>
      <c r="K316" s="145">
        <f t="shared" si="349"/>
        <v>0</v>
      </c>
      <c r="L316" s="145">
        <f t="shared" si="350"/>
        <v>6</v>
      </c>
      <c r="M316" s="145">
        <f t="shared" si="351"/>
        <v>30.96</v>
      </c>
      <c r="N316" s="145">
        <f t="shared" si="352"/>
        <v>183.87487306019347</v>
      </c>
      <c r="O316" s="145">
        <f t="shared" si="353"/>
        <v>0</v>
      </c>
      <c r="P316" s="145">
        <f t="shared" si="354"/>
        <v>61.51288709565723</v>
      </c>
      <c r="Q316" s="147">
        <f t="shared" si="355"/>
        <v>276.3477601558507</v>
      </c>
      <c r="R316" s="147"/>
      <c r="S316" s="128">
        <f t="shared" si="356"/>
        <v>0.16067790818515626</v>
      </c>
      <c r="T316" s="128">
        <f t="shared" si="357"/>
        <v>7.6108198023748</v>
      </c>
      <c r="U316" s="145">
        <f t="shared" si="358"/>
        <v>0</v>
      </c>
      <c r="V316" s="145">
        <f t="shared" si="359"/>
        <v>0</v>
      </c>
      <c r="W316" s="128">
        <f t="shared" si="313"/>
        <v>0</v>
      </c>
      <c r="X316" t="str">
        <f t="shared" si="310"/>
        <v>3217,48</v>
      </c>
      <c r="Y316" s="151">
        <f t="shared" si="311"/>
        <v>0.16067790818515626</v>
      </c>
      <c r="Z316" s="151">
        <f t="shared" si="312"/>
        <v>7.6108198023748</v>
      </c>
    </row>
    <row r="317" spans="1:26" ht="12.75">
      <c r="A317" s="141">
        <f>+'SMAW-SMAW'!A317</f>
        <v>300</v>
      </c>
      <c r="B317" s="142"/>
      <c r="C317" s="143"/>
      <c r="D317" s="143"/>
      <c r="E317" s="144"/>
      <c r="F317" s="145"/>
      <c r="G317" s="145">
        <f t="shared" si="329"/>
        <v>0</v>
      </c>
      <c r="H317" s="145"/>
      <c r="I317" s="146"/>
      <c r="J317" s="147"/>
      <c r="K317" s="145"/>
      <c r="L317" s="145"/>
      <c r="M317" s="145"/>
      <c r="N317" s="145"/>
      <c r="O317" s="145"/>
      <c r="P317" s="145"/>
      <c r="Q317" s="147"/>
      <c r="R317" s="147"/>
      <c r="S317" s="128"/>
      <c r="T317" s="128"/>
      <c r="U317" s="145"/>
      <c r="V317" s="145"/>
      <c r="W317" s="128">
        <f t="shared" si="313"/>
        <v>0</v>
      </c>
      <c r="X317">
        <f t="shared" si="310"/>
      </c>
      <c r="Y317" s="151">
        <f t="shared" si="311"/>
        <v>0</v>
      </c>
      <c r="Z317" s="151">
        <f t="shared" si="312"/>
        <v>0</v>
      </c>
    </row>
    <row r="318" spans="1:26" ht="12.75">
      <c r="A318" s="141">
        <f>+'SMAW-SMAW'!A318</f>
        <v>301</v>
      </c>
      <c r="B318" s="142">
        <v>36</v>
      </c>
      <c r="C318" s="143">
        <f aca="true" t="shared" si="360" ref="C318:C323">25.4*B318</f>
        <v>914.4</v>
      </c>
      <c r="D318" s="143">
        <v>7.92</v>
      </c>
      <c r="E318" s="144" t="s">
        <v>97</v>
      </c>
      <c r="F318" s="145">
        <f aca="true" t="shared" si="361" ref="F318:F323">IF($D$6=1,2,3)</f>
        <v>2</v>
      </c>
      <c r="G318" s="145">
        <f t="shared" si="329"/>
        <v>2</v>
      </c>
      <c r="H318" s="145">
        <f aca="true" t="shared" si="362" ref="H318:H323">IF(D318&lt;=19,2,3)</f>
        <v>2</v>
      </c>
      <c r="I318" s="146">
        <f aca="true" t="shared" si="363" ref="I318:I323">IF(D318&lt;=19,(D318-G318)*TAN($C$8*PI()/180),(19-G318)*TAN($C$8*PI()/180))</f>
        <v>4.542575768835445</v>
      </c>
      <c r="J318" s="147"/>
      <c r="K318" s="145">
        <f aca="true" t="shared" si="364" ref="K318:K323">IF(D318&lt;=19,0,(D318-19)*TAN($C$10*PI()/180))</f>
        <v>0</v>
      </c>
      <c r="L318" s="145">
        <f aca="true" t="shared" si="365" ref="L318:L323">+F318*(G318*1.5)</f>
        <v>6</v>
      </c>
      <c r="M318" s="145">
        <f aca="true" t="shared" si="366" ref="M318:M323">+F318*(D318-G318)</f>
        <v>11.84</v>
      </c>
      <c r="N318" s="145">
        <f aca="true" t="shared" si="367" ref="N318:N323">IF(D318&lt;=19,(D318-G318)*I318,(19-G318)*I318)</f>
        <v>26.892048551505837</v>
      </c>
      <c r="O318" s="145">
        <f aca="true" t="shared" si="368" ref="O318:O323">IF(D318&lt;=19,0,(I318*(D318-19)*2)+((K318)*(D318-19)))</f>
        <v>0</v>
      </c>
      <c r="P318" s="145">
        <f aca="true" t="shared" si="369" ref="P318:P323">+(5+F318+(2*(I318+K318)))*H318</f>
        <v>32.17030307534178</v>
      </c>
      <c r="Q318" s="147">
        <f aca="true" t="shared" si="370" ref="Q318:Q323">SUM(M318:P318)</f>
        <v>70.90235162684762</v>
      </c>
      <c r="R318" s="147"/>
      <c r="S318" s="128">
        <f aca="true" t="shared" si="371" ref="S318:S323">IF(D$6=1,(PI()*(C318-(2*D318)+(2*G318))*L318*0.1*0.01*7.85*0.001/(S$16*S$17)),0)</f>
        <v>0.18548737952982025</v>
      </c>
      <c r="T318" s="128">
        <f aca="true" t="shared" si="372" ref="T318:T323">IF(D$6=1,(PI()*(C318-(0.5*D318))*(Q318)*0.1*0.01*7.85*0.001/(T$16*T$17)),0)</f>
        <v>2.2110522357637277</v>
      </c>
      <c r="U318" s="145">
        <f aca="true" t="shared" si="373" ref="U318:U323">IF(D$6=1,0,(PI()*(C318-(2*D318)+(2*G318))*L318*0.1*0.01*7.85*0.001/(U$16*U$17)))</f>
        <v>0</v>
      </c>
      <c r="V318" s="145">
        <f aca="true" t="shared" si="374" ref="V318:V323">IF(D$6=1,0,(PI()*(C318-(0.5*D318))*(Q318)*0.1*0.01*7.85*0.001/(V$16*V$17)))</f>
        <v>0</v>
      </c>
      <c r="W318" s="128">
        <f t="shared" si="313"/>
        <v>0</v>
      </c>
      <c r="X318" t="str">
        <f t="shared" si="310"/>
        <v>367,92</v>
      </c>
      <c r="Y318" s="151">
        <f t="shared" si="311"/>
        <v>0.18548737952982025</v>
      </c>
      <c r="Z318" s="151">
        <f t="shared" si="312"/>
        <v>2.2110522357637277</v>
      </c>
    </row>
    <row r="319" spans="1:26" ht="12.75">
      <c r="A319" s="141">
        <f>+'SMAW-SMAW'!A319</f>
        <v>302</v>
      </c>
      <c r="B319" s="142">
        <v>36</v>
      </c>
      <c r="C319" s="143">
        <f t="shared" si="360"/>
        <v>914.4</v>
      </c>
      <c r="D319" s="143">
        <v>9.52</v>
      </c>
      <c r="E319" s="144" t="s">
        <v>86</v>
      </c>
      <c r="F319" s="145">
        <f t="shared" si="361"/>
        <v>2</v>
      </c>
      <c r="G319" s="145">
        <f t="shared" si="329"/>
        <v>2</v>
      </c>
      <c r="H319" s="145">
        <f t="shared" si="362"/>
        <v>2</v>
      </c>
      <c r="I319" s="146">
        <f t="shared" si="363"/>
        <v>5.770298949601782</v>
      </c>
      <c r="J319" s="147"/>
      <c r="K319" s="145">
        <f t="shared" si="364"/>
        <v>0</v>
      </c>
      <c r="L319" s="145">
        <f t="shared" si="365"/>
        <v>6</v>
      </c>
      <c r="M319" s="145">
        <f t="shared" si="366"/>
        <v>15.04</v>
      </c>
      <c r="N319" s="145">
        <f t="shared" si="367"/>
        <v>43.39264810100539</v>
      </c>
      <c r="O319" s="145">
        <f t="shared" si="368"/>
        <v>0</v>
      </c>
      <c r="P319" s="145">
        <f t="shared" si="369"/>
        <v>37.08119579840712</v>
      </c>
      <c r="Q319" s="147">
        <f t="shared" si="370"/>
        <v>95.5138438994125</v>
      </c>
      <c r="R319" s="147"/>
      <c r="S319" s="128">
        <f t="shared" si="371"/>
        <v>0.18482973946766873</v>
      </c>
      <c r="T319" s="128">
        <f t="shared" si="372"/>
        <v>2.9759313319791074</v>
      </c>
      <c r="U319" s="145">
        <f t="shared" si="373"/>
        <v>0</v>
      </c>
      <c r="V319" s="145">
        <f t="shared" si="374"/>
        <v>0</v>
      </c>
      <c r="W319" s="128">
        <f t="shared" si="313"/>
        <v>0</v>
      </c>
      <c r="X319" t="str">
        <f t="shared" si="310"/>
        <v>369,52</v>
      </c>
      <c r="Y319" s="151">
        <f t="shared" si="311"/>
        <v>0.18482973946766873</v>
      </c>
      <c r="Z319" s="151">
        <f t="shared" si="312"/>
        <v>2.9759313319791074</v>
      </c>
    </row>
    <row r="320" spans="1:26" ht="12.75">
      <c r="A320" s="141">
        <f>+'SMAW-SMAW'!A320</f>
        <v>303</v>
      </c>
      <c r="B320" s="142">
        <v>36</v>
      </c>
      <c r="C320" s="143">
        <f t="shared" si="360"/>
        <v>914.4</v>
      </c>
      <c r="D320" s="143">
        <v>12.7</v>
      </c>
      <c r="E320" s="144" t="s">
        <v>92</v>
      </c>
      <c r="F320" s="145">
        <f t="shared" si="361"/>
        <v>2</v>
      </c>
      <c r="G320" s="145">
        <f t="shared" si="329"/>
        <v>2</v>
      </c>
      <c r="H320" s="145">
        <f t="shared" si="362"/>
        <v>2</v>
      </c>
      <c r="I320" s="146">
        <f t="shared" si="363"/>
        <v>8.210398771374875</v>
      </c>
      <c r="J320" s="147"/>
      <c r="K320" s="145">
        <f t="shared" si="364"/>
        <v>0</v>
      </c>
      <c r="L320" s="145">
        <f t="shared" si="365"/>
        <v>6</v>
      </c>
      <c r="M320" s="145">
        <f t="shared" si="366"/>
        <v>21.4</v>
      </c>
      <c r="N320" s="145">
        <f t="shared" si="367"/>
        <v>87.85126685371115</v>
      </c>
      <c r="O320" s="145">
        <f t="shared" si="368"/>
        <v>0</v>
      </c>
      <c r="P320" s="145">
        <f t="shared" si="369"/>
        <v>46.8415950854995</v>
      </c>
      <c r="Q320" s="147">
        <f t="shared" si="370"/>
        <v>156.09286193921065</v>
      </c>
      <c r="R320" s="147"/>
      <c r="S320" s="128">
        <f t="shared" si="371"/>
        <v>0.18352267984414272</v>
      </c>
      <c r="T320" s="128">
        <f t="shared" si="372"/>
        <v>4.85489497321772</v>
      </c>
      <c r="U320" s="145">
        <f t="shared" si="373"/>
        <v>0</v>
      </c>
      <c r="V320" s="145">
        <f t="shared" si="374"/>
        <v>0</v>
      </c>
      <c r="W320" s="128">
        <f t="shared" si="313"/>
        <v>0</v>
      </c>
      <c r="X320" t="str">
        <f t="shared" si="310"/>
        <v>3612,7</v>
      </c>
      <c r="Y320" s="151">
        <f t="shared" si="311"/>
        <v>0.18352267984414272</v>
      </c>
      <c r="Z320" s="151">
        <f t="shared" si="312"/>
        <v>4.85489497321772</v>
      </c>
    </row>
    <row r="321" spans="1:26" ht="12.75">
      <c r="A321" s="141">
        <f>+'SMAW-SMAW'!A321</f>
        <v>304</v>
      </c>
      <c r="B321" s="142">
        <v>36</v>
      </c>
      <c r="C321" s="143">
        <f t="shared" si="360"/>
        <v>914.4</v>
      </c>
      <c r="D321" s="143">
        <v>12.7</v>
      </c>
      <c r="E321" s="144" t="s">
        <v>82</v>
      </c>
      <c r="F321" s="145">
        <f t="shared" si="361"/>
        <v>2</v>
      </c>
      <c r="G321" s="145">
        <f t="shared" si="329"/>
        <v>2</v>
      </c>
      <c r="H321" s="145">
        <f t="shared" si="362"/>
        <v>2</v>
      </c>
      <c r="I321" s="146">
        <f t="shared" si="363"/>
        <v>8.210398771374875</v>
      </c>
      <c r="J321" s="147"/>
      <c r="K321" s="145">
        <f t="shared" si="364"/>
        <v>0</v>
      </c>
      <c r="L321" s="145">
        <f t="shared" si="365"/>
        <v>6</v>
      </c>
      <c r="M321" s="145">
        <f t="shared" si="366"/>
        <v>21.4</v>
      </c>
      <c r="N321" s="145">
        <f t="shared" si="367"/>
        <v>87.85126685371115</v>
      </c>
      <c r="O321" s="145">
        <f t="shared" si="368"/>
        <v>0</v>
      </c>
      <c r="P321" s="145">
        <f t="shared" si="369"/>
        <v>46.8415950854995</v>
      </c>
      <c r="Q321" s="147">
        <f t="shared" si="370"/>
        <v>156.09286193921065</v>
      </c>
      <c r="R321" s="147"/>
      <c r="S321" s="128">
        <f t="shared" si="371"/>
        <v>0.18352267984414272</v>
      </c>
      <c r="T321" s="128">
        <f t="shared" si="372"/>
        <v>4.85489497321772</v>
      </c>
      <c r="U321" s="145">
        <f t="shared" si="373"/>
        <v>0</v>
      </c>
      <c r="V321" s="145">
        <f t="shared" si="374"/>
        <v>0</v>
      </c>
      <c r="W321" s="128">
        <f t="shared" si="313"/>
        <v>0</v>
      </c>
      <c r="X321" t="str">
        <f t="shared" si="310"/>
        <v>3612,7</v>
      </c>
      <c r="Y321" s="151">
        <f t="shared" si="311"/>
        <v>0.18352267984414272</v>
      </c>
      <c r="Z321" s="151">
        <f t="shared" si="312"/>
        <v>4.85489497321772</v>
      </c>
    </row>
    <row r="322" spans="1:26" ht="12.75">
      <c r="A322" s="141">
        <f>+'SMAW-SMAW'!A322</f>
        <v>305</v>
      </c>
      <c r="B322" s="142">
        <v>36</v>
      </c>
      <c r="C322" s="143">
        <f t="shared" si="360"/>
        <v>914.4</v>
      </c>
      <c r="D322" s="143">
        <v>15.88</v>
      </c>
      <c r="E322" s="144" t="s">
        <v>93</v>
      </c>
      <c r="F322" s="145">
        <f t="shared" si="361"/>
        <v>2</v>
      </c>
      <c r="G322" s="145">
        <f t="shared" si="329"/>
        <v>2</v>
      </c>
      <c r="H322" s="145">
        <f t="shared" si="362"/>
        <v>2</v>
      </c>
      <c r="I322" s="146">
        <f t="shared" si="363"/>
        <v>10.65049859314797</v>
      </c>
      <c r="J322" s="147"/>
      <c r="K322" s="145">
        <f t="shared" si="364"/>
        <v>0</v>
      </c>
      <c r="L322" s="145">
        <f t="shared" si="365"/>
        <v>6</v>
      </c>
      <c r="M322" s="145">
        <f t="shared" si="366"/>
        <v>27.76</v>
      </c>
      <c r="N322" s="145">
        <f t="shared" si="367"/>
        <v>147.82892047289383</v>
      </c>
      <c r="O322" s="145">
        <f t="shared" si="368"/>
        <v>0</v>
      </c>
      <c r="P322" s="145">
        <f t="shared" si="369"/>
        <v>56.60199437259188</v>
      </c>
      <c r="Q322" s="147">
        <f t="shared" si="370"/>
        <v>232.1909148454857</v>
      </c>
      <c r="R322" s="147"/>
      <c r="S322" s="128">
        <f t="shared" si="371"/>
        <v>0.18221562022061666</v>
      </c>
      <c r="T322" s="128">
        <f t="shared" si="372"/>
        <v>7.209097515153095</v>
      </c>
      <c r="U322" s="145">
        <f t="shared" si="373"/>
        <v>0</v>
      </c>
      <c r="V322" s="145">
        <f t="shared" si="374"/>
        <v>0</v>
      </c>
      <c r="W322" s="128">
        <f t="shared" si="313"/>
        <v>0</v>
      </c>
      <c r="X322" t="str">
        <f t="shared" si="310"/>
        <v>3615,88</v>
      </c>
      <c r="Y322" s="151">
        <f t="shared" si="311"/>
        <v>0.18221562022061666</v>
      </c>
      <c r="Z322" s="151">
        <f t="shared" si="312"/>
        <v>7.209097515153095</v>
      </c>
    </row>
    <row r="323" spans="1:26" ht="12.75">
      <c r="A323" s="141">
        <f>+'SMAW-SMAW'!A323</f>
        <v>306</v>
      </c>
      <c r="B323" s="142">
        <v>36</v>
      </c>
      <c r="C323" s="143">
        <f t="shared" si="360"/>
        <v>914.4</v>
      </c>
      <c r="D323" s="143">
        <v>19.05</v>
      </c>
      <c r="E323" s="144" t="s">
        <v>87</v>
      </c>
      <c r="F323" s="145">
        <f t="shared" si="361"/>
        <v>2</v>
      </c>
      <c r="G323" s="145">
        <f t="shared" si="329"/>
        <v>2</v>
      </c>
      <c r="H323" s="145">
        <f t="shared" si="362"/>
        <v>3</v>
      </c>
      <c r="I323" s="146">
        <f t="shared" si="363"/>
        <v>13.044558795642326</v>
      </c>
      <c r="J323" s="147"/>
      <c r="K323" s="145">
        <f t="shared" si="364"/>
        <v>0.008816349035423374</v>
      </c>
      <c r="L323" s="145">
        <f t="shared" si="365"/>
        <v>6</v>
      </c>
      <c r="M323" s="145">
        <f t="shared" si="366"/>
        <v>34.1</v>
      </c>
      <c r="N323" s="145">
        <f t="shared" si="367"/>
        <v>221.75749952591954</v>
      </c>
      <c r="O323" s="145">
        <f t="shared" si="368"/>
        <v>1.3048966970160223</v>
      </c>
      <c r="P323" s="145">
        <f t="shared" si="369"/>
        <v>99.32025086806651</v>
      </c>
      <c r="Q323" s="147">
        <f t="shared" si="370"/>
        <v>356.4826470910021</v>
      </c>
      <c r="R323" s="147"/>
      <c r="S323" s="128">
        <f t="shared" si="371"/>
        <v>0.1809126708474791</v>
      </c>
      <c r="T323" s="128">
        <f t="shared" si="372"/>
        <v>11.048772128235985</v>
      </c>
      <c r="U323" s="145">
        <f t="shared" si="373"/>
        <v>0</v>
      </c>
      <c r="V323" s="145">
        <f t="shared" si="374"/>
        <v>0</v>
      </c>
      <c r="W323" s="128">
        <f t="shared" si="313"/>
        <v>0</v>
      </c>
      <c r="X323" t="str">
        <f t="shared" si="310"/>
        <v>3619,05</v>
      </c>
      <c r="Y323" s="151">
        <f t="shared" si="311"/>
        <v>0.1809126708474791</v>
      </c>
      <c r="Z323" s="151">
        <f t="shared" si="312"/>
        <v>11.048772128235985</v>
      </c>
    </row>
    <row r="324" spans="1:26" ht="12.75">
      <c r="A324" s="141">
        <f>+'SMAW-SMAW'!A324</f>
        <v>307</v>
      </c>
      <c r="B324" s="142"/>
      <c r="C324" s="143"/>
      <c r="D324" s="143"/>
      <c r="E324" s="142"/>
      <c r="F324" s="145"/>
      <c r="G324" s="145"/>
      <c r="H324" s="145"/>
      <c r="I324" s="146"/>
      <c r="J324" s="147"/>
      <c r="K324" s="145"/>
      <c r="L324" s="145"/>
      <c r="M324" s="145"/>
      <c r="N324" s="145"/>
      <c r="O324" s="145"/>
      <c r="P324" s="145"/>
      <c r="Q324" s="147"/>
      <c r="R324" s="147"/>
      <c r="S324" s="128"/>
      <c r="T324" s="128"/>
      <c r="U324" s="145"/>
      <c r="V324" s="145"/>
      <c r="W324" s="145"/>
      <c r="X324">
        <f t="shared" si="310"/>
      </c>
      <c r="Y324" s="151">
        <f t="shared" si="311"/>
        <v>0</v>
      </c>
      <c r="Z324" s="151">
        <f t="shared" si="312"/>
        <v>0</v>
      </c>
    </row>
    <row r="325" spans="1:26" ht="12.75">
      <c r="A325" s="141">
        <f>+'SMAW-SMAW'!A325</f>
        <v>308</v>
      </c>
      <c r="B325" s="142">
        <v>38</v>
      </c>
      <c r="C325" s="143">
        <f>25.4*B325</f>
        <v>965.1999999999999</v>
      </c>
      <c r="D325" s="143">
        <v>9.52</v>
      </c>
      <c r="E325" s="144" t="s">
        <v>86</v>
      </c>
      <c r="F325" s="145">
        <f>IF($D$6=1,2,3)</f>
        <v>2</v>
      </c>
      <c r="G325" s="145">
        <f>IF(D325&lt;2,D325,2)</f>
        <v>2</v>
      </c>
      <c r="H325" s="145">
        <f>IF(D325&lt;=19,2,3)</f>
        <v>2</v>
      </c>
      <c r="I325" s="146">
        <f>IF(D325&lt;=19,(D325-G325)*TAN($C$8*PI()/180),(19-G325)*TAN($C$8*PI()/180))</f>
        <v>5.770298949601782</v>
      </c>
      <c r="J325" s="147"/>
      <c r="K325" s="145">
        <f>IF(D325&lt;=19,0,(D325-19)*TAN($C$10*PI()/180))</f>
        <v>0</v>
      </c>
      <c r="L325" s="145">
        <f>+F325*(G325*1.5)</f>
        <v>6</v>
      </c>
      <c r="M325" s="145">
        <f>+F325*(D325-G325)</f>
        <v>15.04</v>
      </c>
      <c r="N325" s="145">
        <f>IF(D325&lt;=19,(D325-G325)*I325,(19-G325)*I325)</f>
        <v>43.39264810100539</v>
      </c>
      <c r="O325" s="145">
        <f>IF(D325&lt;=19,0,(I325*(D325-19)*2)+((K325)*(D325-19)))</f>
        <v>0</v>
      </c>
      <c r="P325" s="145">
        <f>+(5+F325+(2*(I325+K325)))*H325</f>
        <v>37.08119579840712</v>
      </c>
      <c r="Q325" s="147">
        <f>SUM(M325:P325)</f>
        <v>95.5138438994125</v>
      </c>
      <c r="R325" s="147"/>
      <c r="S325" s="128">
        <f>IF(D$6=1,(PI()*(C325-(2*D325)+(2*G325))*L325*0.1*0.01*7.85*0.001/(S$16*S$17)),0)</f>
        <v>0.19526977545432325</v>
      </c>
      <c r="T325" s="128">
        <f>IF(D$6=1,(PI()*(C325-(0.5*D325))*(Q325)*0.1*0.01*7.85*0.001/(T$16*T$17)),0)</f>
        <v>3.1421259932347025</v>
      </c>
      <c r="U325" s="145">
        <f aca="true" t="shared" si="375" ref="U325:U359">IF(D$6=1,0,(PI()*(C325-(2*D325)+(2*G325))*L325*0.1*0.01*7.85*0.001/(U$16*U$17)))</f>
        <v>0</v>
      </c>
      <c r="V325" s="145">
        <f aca="true" t="shared" si="376" ref="V325:V359">IF(D$6=1,0,(PI()*(C325-(0.5*D325))*(Q325)*0.1*0.01*7.85*0.001/(V$16*V$17)))</f>
        <v>0</v>
      </c>
      <c r="W325" s="128">
        <f aca="true" t="shared" si="377" ref="W325:W359">SUM(U325:V325)</f>
        <v>0</v>
      </c>
      <c r="X325" t="str">
        <f t="shared" si="310"/>
        <v>389,52</v>
      </c>
      <c r="Y325" s="151">
        <f t="shared" si="311"/>
        <v>0.19526977545432325</v>
      </c>
      <c r="Z325" s="151">
        <f t="shared" si="312"/>
        <v>3.1421259932347025</v>
      </c>
    </row>
    <row r="326" spans="1:26" ht="12.75">
      <c r="A326" s="141">
        <f>+'SMAW-SMAW'!A326</f>
        <v>309</v>
      </c>
      <c r="B326" s="142">
        <v>38</v>
      </c>
      <c r="C326" s="143">
        <f>25.4*B326</f>
        <v>965.1999999999999</v>
      </c>
      <c r="D326" s="143">
        <v>12.7</v>
      </c>
      <c r="E326" s="144" t="s">
        <v>82</v>
      </c>
      <c r="F326" s="145">
        <f>IF($D$6=1,2,3)</f>
        <v>2</v>
      </c>
      <c r="G326" s="145">
        <f>IF(D326&lt;2,D326,2)</f>
        <v>2</v>
      </c>
      <c r="H326" s="145">
        <f>IF(D326&lt;=19,2,3)</f>
        <v>2</v>
      </c>
      <c r="I326" s="146">
        <f>IF(D326&lt;=19,(D326-G326)*TAN($C$8*PI()/180),(19-G326)*TAN($C$8*PI()/180))</f>
        <v>8.210398771374875</v>
      </c>
      <c r="J326" s="147"/>
      <c r="K326" s="145">
        <f>IF(D326&lt;=19,0,(D326-19)*TAN($C$10*PI()/180))</f>
        <v>0</v>
      </c>
      <c r="L326" s="145">
        <f>+F326*(G326*1.5)</f>
        <v>6</v>
      </c>
      <c r="M326" s="145">
        <f>+F326*(D326-G326)</f>
        <v>21.4</v>
      </c>
      <c r="N326" s="145">
        <f>IF(D326&lt;=19,(D326-G326)*I326,(19-G326)*I326)</f>
        <v>87.85126685371115</v>
      </c>
      <c r="O326" s="145">
        <f>IF(D326&lt;=19,0,(I326*(D326-19)*2)+((K326)*(D326-19)))</f>
        <v>0</v>
      </c>
      <c r="P326" s="145">
        <f>+(5+F326+(2*(I326+K326)))*H326</f>
        <v>46.8415950854995</v>
      </c>
      <c r="Q326" s="147">
        <f>SUM(M326:P326)</f>
        <v>156.09286193921065</v>
      </c>
      <c r="R326" s="147"/>
      <c r="S326" s="128">
        <f>IF(D$6=1,(PI()*(C326-(2*D326)+(2*G326))*L326*0.1*0.01*7.85*0.001/(S$16*S$17)),0)</f>
        <v>0.1939627158307972</v>
      </c>
      <c r="T326" s="128">
        <f>IF(D$6=1,(PI()*(C326-(0.5*D326))*(Q326)*0.1*0.01*7.85*0.001/(T$16*T$17)),0)</f>
        <v>5.126497489201927</v>
      </c>
      <c r="U326" s="145">
        <f t="shared" si="375"/>
        <v>0</v>
      </c>
      <c r="V326" s="145">
        <f t="shared" si="376"/>
        <v>0</v>
      </c>
      <c r="W326" s="128">
        <f t="shared" si="377"/>
        <v>0</v>
      </c>
      <c r="X326" t="str">
        <f t="shared" si="310"/>
        <v>3812,7</v>
      </c>
      <c r="Y326" s="151">
        <f t="shared" si="311"/>
        <v>0.1939627158307972</v>
      </c>
      <c r="Z326" s="151">
        <f t="shared" si="312"/>
        <v>5.126497489201927</v>
      </c>
    </row>
    <row r="327" spans="1:26" ht="12.75">
      <c r="A327" s="141">
        <f>+'SMAW-SMAW'!A327</f>
        <v>310</v>
      </c>
      <c r="B327" s="142"/>
      <c r="C327" s="143"/>
      <c r="D327" s="143"/>
      <c r="E327" s="144"/>
      <c r="F327" s="145"/>
      <c r="G327" s="145"/>
      <c r="H327" s="145"/>
      <c r="I327" s="146"/>
      <c r="J327" s="147"/>
      <c r="K327" s="145"/>
      <c r="L327" s="145"/>
      <c r="M327" s="145"/>
      <c r="N327" s="145"/>
      <c r="O327" s="145"/>
      <c r="P327" s="145"/>
      <c r="Q327" s="147"/>
      <c r="R327" s="147"/>
      <c r="S327" s="128"/>
      <c r="T327" s="128"/>
      <c r="U327" s="145">
        <f t="shared" si="375"/>
        <v>0</v>
      </c>
      <c r="V327" s="145">
        <f t="shared" si="376"/>
        <v>0</v>
      </c>
      <c r="W327" s="128">
        <f t="shared" si="377"/>
        <v>0</v>
      </c>
      <c r="X327">
        <f t="shared" si="310"/>
      </c>
      <c r="Y327" s="151">
        <f t="shared" si="311"/>
        <v>0</v>
      </c>
      <c r="Z327" s="151">
        <f t="shared" si="312"/>
        <v>0</v>
      </c>
    </row>
    <row r="328" spans="1:26" ht="12.75">
      <c r="A328" s="141">
        <f>+'SMAW-SMAW'!A328</f>
        <v>311</v>
      </c>
      <c r="B328" s="142">
        <v>40</v>
      </c>
      <c r="C328" s="143">
        <f>25.4*B328</f>
        <v>1016</v>
      </c>
      <c r="D328" s="143">
        <v>9.52</v>
      </c>
      <c r="E328" s="144" t="s">
        <v>86</v>
      </c>
      <c r="F328" s="145">
        <f aca="true" t="shared" si="378" ref="F328:F359">IF($D$6=1,2,3)</f>
        <v>2</v>
      </c>
      <c r="G328" s="145">
        <f aca="true" t="shared" si="379" ref="G328:G359">IF(D328&lt;2,D328,2)</f>
        <v>2</v>
      </c>
      <c r="H328" s="145">
        <f aca="true" t="shared" si="380" ref="H328:H359">IF(D328&lt;=19,2,3)</f>
        <v>2</v>
      </c>
      <c r="I328" s="146">
        <f aca="true" t="shared" si="381" ref="I328:I359">IF(D328&lt;=19,(D328-G328)*TAN($C$8*PI()/180),(19-G328)*TAN($C$8*PI()/180))</f>
        <v>5.770298949601782</v>
      </c>
      <c r="J328" s="147"/>
      <c r="K328" s="145">
        <f aca="true" t="shared" si="382" ref="K328:K359">IF(D328&lt;=19,0,(D328-19)*TAN($C$10*PI()/180))</f>
        <v>0</v>
      </c>
      <c r="L328" s="145">
        <f aca="true" t="shared" si="383" ref="L328:L359">+F328*(G328*1.5)</f>
        <v>6</v>
      </c>
      <c r="M328" s="145">
        <f aca="true" t="shared" si="384" ref="M328:M359">+F328*(D328-G328)</f>
        <v>15.04</v>
      </c>
      <c r="N328" s="145">
        <f aca="true" t="shared" si="385" ref="N328:N359">IF(D328&lt;=19,(D328-G328)*I328,(19-G328)*I328)</f>
        <v>43.39264810100539</v>
      </c>
      <c r="O328" s="145">
        <f aca="true" t="shared" si="386" ref="O328:O359">IF(D328&lt;=19,0,(I328*(D328-19)*2)+((K328)*(D328-19)))</f>
        <v>0</v>
      </c>
      <c r="P328" s="145">
        <f aca="true" t="shared" si="387" ref="P328:P359">+(5+F328+(2*(I328+K328)))*H328</f>
        <v>37.08119579840712</v>
      </c>
      <c r="Q328" s="147">
        <f aca="true" t="shared" si="388" ref="Q328:Q359">SUM(M328:P328)</f>
        <v>95.5138438994125</v>
      </c>
      <c r="R328" s="147"/>
      <c r="S328" s="128">
        <f aca="true" t="shared" si="389" ref="S328:S359">IF(D$6=1,(PI()*(C328-(2*D328)+(2*G328))*L328*0.1*0.01*7.85*0.001/(S$16*S$17)),0)</f>
        <v>0.20570981144097772</v>
      </c>
      <c r="T328" s="128">
        <f aca="true" t="shared" si="390" ref="T328:T359">IF(D$6=1,(PI()*(C328-(0.5*D328))*(Q328)*0.1*0.01*7.85*0.001/(T$16*T$17)),0)</f>
        <v>3.3083206544902963</v>
      </c>
      <c r="U328" s="145">
        <f t="shared" si="375"/>
        <v>0</v>
      </c>
      <c r="V328" s="145">
        <f t="shared" si="376"/>
        <v>0</v>
      </c>
      <c r="W328" s="128">
        <f t="shared" si="377"/>
        <v>0</v>
      </c>
      <c r="X328" t="str">
        <f t="shared" si="310"/>
        <v>409,52</v>
      </c>
      <c r="Y328" s="151">
        <f t="shared" si="311"/>
        <v>0.20570981144097772</v>
      </c>
      <c r="Z328" s="151">
        <f t="shared" si="312"/>
        <v>3.3083206544902963</v>
      </c>
    </row>
    <row r="329" spans="1:26" ht="24" customHeight="1">
      <c r="A329" s="141">
        <f>+'SMAW-SMAW'!A329</f>
        <v>312</v>
      </c>
      <c r="B329" s="142">
        <v>40</v>
      </c>
      <c r="C329" s="143">
        <f>25.4*B329</f>
        <v>1016</v>
      </c>
      <c r="D329" s="143">
        <v>12.7</v>
      </c>
      <c r="E329" s="144" t="s">
        <v>82</v>
      </c>
      <c r="F329" s="145">
        <f t="shared" si="378"/>
        <v>2</v>
      </c>
      <c r="G329" s="145">
        <f t="shared" si="379"/>
        <v>2</v>
      </c>
      <c r="H329" s="145">
        <f t="shared" si="380"/>
        <v>2</v>
      </c>
      <c r="I329" s="146">
        <f t="shared" si="381"/>
        <v>8.210398771374875</v>
      </c>
      <c r="J329" s="147"/>
      <c r="K329" s="145">
        <f t="shared" si="382"/>
        <v>0</v>
      </c>
      <c r="L329" s="145">
        <f t="shared" si="383"/>
        <v>6</v>
      </c>
      <c r="M329" s="145">
        <f t="shared" si="384"/>
        <v>21.4</v>
      </c>
      <c r="N329" s="145">
        <f t="shared" si="385"/>
        <v>87.85126685371115</v>
      </c>
      <c r="O329" s="145">
        <f t="shared" si="386"/>
        <v>0</v>
      </c>
      <c r="P329" s="145">
        <f t="shared" si="387"/>
        <v>46.8415950854995</v>
      </c>
      <c r="Q329" s="147">
        <f t="shared" si="388"/>
        <v>156.09286193921065</v>
      </c>
      <c r="R329" s="147"/>
      <c r="S329" s="128">
        <f t="shared" si="389"/>
        <v>0.20440275181745166</v>
      </c>
      <c r="T329" s="128">
        <f t="shared" si="390"/>
        <v>5.398100005186136</v>
      </c>
      <c r="U329" s="145">
        <f t="shared" si="375"/>
        <v>0</v>
      </c>
      <c r="V329" s="145">
        <f t="shared" si="376"/>
        <v>0</v>
      </c>
      <c r="W329" s="128">
        <f t="shared" si="377"/>
        <v>0</v>
      </c>
      <c r="X329" t="str">
        <f t="shared" si="310"/>
        <v>4012,7</v>
      </c>
      <c r="Y329" s="151">
        <f t="shared" si="311"/>
        <v>0.20440275181745166</v>
      </c>
      <c r="Z329" s="151">
        <f t="shared" si="312"/>
        <v>5.398100005186136</v>
      </c>
    </row>
    <row r="330" spans="1:26" ht="26.25" customHeight="1">
      <c r="A330" s="141">
        <f>+'SMAW-SMAW'!A330</f>
        <v>313</v>
      </c>
      <c r="B330" s="142"/>
      <c r="C330" s="143"/>
      <c r="D330" s="143"/>
      <c r="E330" s="144"/>
      <c r="F330" s="145">
        <f t="shared" si="378"/>
        <v>2</v>
      </c>
      <c r="G330" s="145">
        <f t="shared" si="379"/>
        <v>0</v>
      </c>
      <c r="H330" s="145">
        <f t="shared" si="380"/>
        <v>2</v>
      </c>
      <c r="I330" s="146">
        <f t="shared" si="381"/>
        <v>0</v>
      </c>
      <c r="J330" s="147"/>
      <c r="K330" s="145">
        <f t="shared" si="382"/>
        <v>0</v>
      </c>
      <c r="L330" s="145">
        <f t="shared" si="383"/>
        <v>0</v>
      </c>
      <c r="M330" s="145">
        <f t="shared" si="384"/>
        <v>0</v>
      </c>
      <c r="N330" s="145">
        <f t="shared" si="385"/>
        <v>0</v>
      </c>
      <c r="O330" s="145">
        <f t="shared" si="386"/>
        <v>0</v>
      </c>
      <c r="P330" s="145">
        <f t="shared" si="387"/>
        <v>14</v>
      </c>
      <c r="Q330" s="147">
        <f t="shared" si="388"/>
        <v>14</v>
      </c>
      <c r="R330" s="147"/>
      <c r="S330" s="128">
        <f t="shared" si="389"/>
        <v>0</v>
      </c>
      <c r="T330" s="128">
        <f t="shared" si="390"/>
        <v>0</v>
      </c>
      <c r="U330" s="145">
        <f t="shared" si="375"/>
        <v>0</v>
      </c>
      <c r="V330" s="145">
        <f t="shared" si="376"/>
        <v>0</v>
      </c>
      <c r="W330" s="128">
        <f t="shared" si="377"/>
        <v>0</v>
      </c>
      <c r="X330">
        <f aca="true" t="shared" si="391" ref="X330:X360">+CONCATENATE(B330,D330)</f>
      </c>
      <c r="Y330" s="151">
        <f aca="true" t="shared" si="392" ref="Y330:Y360">+S330</f>
        <v>0</v>
      </c>
      <c r="Z330" s="151">
        <f aca="true" t="shared" si="393" ref="Z330:Z360">+T330</f>
        <v>0</v>
      </c>
    </row>
    <row r="331" spans="1:26" ht="12.75">
      <c r="A331" s="141">
        <f>+'SMAW-SMAW'!A331</f>
        <v>314</v>
      </c>
      <c r="B331" s="142">
        <v>42</v>
      </c>
      <c r="C331" s="143">
        <f>25.4*B331</f>
        <v>1066.8</v>
      </c>
      <c r="D331" s="143">
        <v>9.52</v>
      </c>
      <c r="E331" s="144" t="s">
        <v>86</v>
      </c>
      <c r="F331" s="145">
        <f t="shared" si="378"/>
        <v>2</v>
      </c>
      <c r="G331" s="145">
        <f t="shared" si="379"/>
        <v>2</v>
      </c>
      <c r="H331" s="145">
        <f t="shared" si="380"/>
        <v>2</v>
      </c>
      <c r="I331" s="146">
        <f t="shared" si="381"/>
        <v>5.770298949601782</v>
      </c>
      <c r="J331" s="147"/>
      <c r="K331" s="145">
        <f t="shared" si="382"/>
        <v>0</v>
      </c>
      <c r="L331" s="145">
        <f t="shared" si="383"/>
        <v>6</v>
      </c>
      <c r="M331" s="145">
        <f t="shared" si="384"/>
        <v>15.04</v>
      </c>
      <c r="N331" s="145">
        <f t="shared" si="385"/>
        <v>43.39264810100539</v>
      </c>
      <c r="O331" s="145">
        <f t="shared" si="386"/>
        <v>0</v>
      </c>
      <c r="P331" s="145">
        <f t="shared" si="387"/>
        <v>37.08119579840712</v>
      </c>
      <c r="Q331" s="147">
        <f t="shared" si="388"/>
        <v>95.5138438994125</v>
      </c>
      <c r="R331" s="147"/>
      <c r="S331" s="128">
        <f t="shared" si="389"/>
        <v>0.2161498474276322</v>
      </c>
      <c r="T331" s="128">
        <f t="shared" si="390"/>
        <v>3.4745153157458906</v>
      </c>
      <c r="U331" s="145">
        <f t="shared" si="375"/>
        <v>0</v>
      </c>
      <c r="V331" s="145">
        <f t="shared" si="376"/>
        <v>0</v>
      </c>
      <c r="W331" s="128">
        <f t="shared" si="377"/>
        <v>0</v>
      </c>
      <c r="X331" t="str">
        <f t="shared" si="391"/>
        <v>429,52</v>
      </c>
      <c r="Y331" s="151">
        <f t="shared" si="392"/>
        <v>0.2161498474276322</v>
      </c>
      <c r="Z331" s="151">
        <f t="shared" si="393"/>
        <v>3.4745153157458906</v>
      </c>
    </row>
    <row r="332" spans="1:26" ht="12.75">
      <c r="A332" s="141">
        <f>+'SMAW-SMAW'!A332</f>
        <v>315</v>
      </c>
      <c r="B332" s="142">
        <v>42</v>
      </c>
      <c r="C332" s="143">
        <f>25.4*B332</f>
        <v>1066.8</v>
      </c>
      <c r="D332" s="143">
        <v>12.7</v>
      </c>
      <c r="E332" s="144" t="s">
        <v>82</v>
      </c>
      <c r="F332" s="145">
        <f t="shared" si="378"/>
        <v>2</v>
      </c>
      <c r="G332" s="145">
        <f t="shared" si="379"/>
        <v>2</v>
      </c>
      <c r="H332" s="145">
        <f t="shared" si="380"/>
        <v>2</v>
      </c>
      <c r="I332" s="146">
        <f t="shared" si="381"/>
        <v>8.210398771374875</v>
      </c>
      <c r="J332" s="147"/>
      <c r="K332" s="145">
        <f t="shared" si="382"/>
        <v>0</v>
      </c>
      <c r="L332" s="145">
        <f t="shared" si="383"/>
        <v>6</v>
      </c>
      <c r="M332" s="145">
        <f t="shared" si="384"/>
        <v>21.4</v>
      </c>
      <c r="N332" s="145">
        <f t="shared" si="385"/>
        <v>87.85126685371115</v>
      </c>
      <c r="O332" s="145">
        <f t="shared" si="386"/>
        <v>0</v>
      </c>
      <c r="P332" s="145">
        <f t="shared" si="387"/>
        <v>46.8415950854995</v>
      </c>
      <c r="Q332" s="147">
        <f t="shared" si="388"/>
        <v>156.09286193921065</v>
      </c>
      <c r="R332" s="147"/>
      <c r="S332" s="128">
        <f t="shared" si="389"/>
        <v>0.21484278780410615</v>
      </c>
      <c r="T332" s="128">
        <f t="shared" si="390"/>
        <v>5.669702521170344</v>
      </c>
      <c r="U332" s="145">
        <f t="shared" si="375"/>
        <v>0</v>
      </c>
      <c r="V332" s="145">
        <f t="shared" si="376"/>
        <v>0</v>
      </c>
      <c r="W332" s="128">
        <f t="shared" si="377"/>
        <v>0</v>
      </c>
      <c r="X332" t="str">
        <f t="shared" si="391"/>
        <v>4212,7</v>
      </c>
      <c r="Y332" s="151">
        <f t="shared" si="392"/>
        <v>0.21484278780410615</v>
      </c>
      <c r="Z332" s="151">
        <f t="shared" si="393"/>
        <v>5.669702521170344</v>
      </c>
    </row>
    <row r="333" spans="1:26" ht="12.75">
      <c r="A333" s="141">
        <f>+'SMAW-SMAW'!A333</f>
        <v>316</v>
      </c>
      <c r="B333" s="142"/>
      <c r="C333" s="143"/>
      <c r="D333" s="143"/>
      <c r="E333" s="144"/>
      <c r="F333" s="145">
        <f t="shared" si="378"/>
        <v>2</v>
      </c>
      <c r="G333" s="145">
        <f t="shared" si="379"/>
        <v>0</v>
      </c>
      <c r="H333" s="145">
        <f t="shared" si="380"/>
        <v>2</v>
      </c>
      <c r="I333" s="146">
        <f t="shared" si="381"/>
        <v>0</v>
      </c>
      <c r="J333" s="147"/>
      <c r="K333" s="145">
        <f t="shared" si="382"/>
        <v>0</v>
      </c>
      <c r="L333" s="145">
        <f t="shared" si="383"/>
        <v>0</v>
      </c>
      <c r="M333" s="145">
        <f t="shared" si="384"/>
        <v>0</v>
      </c>
      <c r="N333" s="145">
        <f t="shared" si="385"/>
        <v>0</v>
      </c>
      <c r="O333" s="145">
        <f t="shared" si="386"/>
        <v>0</v>
      </c>
      <c r="P333" s="145">
        <f t="shared" si="387"/>
        <v>14</v>
      </c>
      <c r="Q333" s="147">
        <f t="shared" si="388"/>
        <v>14</v>
      </c>
      <c r="R333" s="147"/>
      <c r="S333" s="128">
        <f t="shared" si="389"/>
        <v>0</v>
      </c>
      <c r="T333" s="128">
        <f t="shared" si="390"/>
        <v>0</v>
      </c>
      <c r="U333" s="145">
        <f t="shared" si="375"/>
        <v>0</v>
      </c>
      <c r="V333" s="145">
        <f t="shared" si="376"/>
        <v>0</v>
      </c>
      <c r="W333" s="128">
        <f t="shared" si="377"/>
        <v>0</v>
      </c>
      <c r="X333">
        <f t="shared" si="391"/>
      </c>
      <c r="Y333" s="151">
        <f t="shared" si="392"/>
        <v>0</v>
      </c>
      <c r="Z333" s="151">
        <f t="shared" si="393"/>
        <v>0</v>
      </c>
    </row>
    <row r="334" spans="1:26" ht="12.75">
      <c r="A334" s="141">
        <f>+'SMAW-SMAW'!A334</f>
        <v>317</v>
      </c>
      <c r="B334" s="142">
        <v>44</v>
      </c>
      <c r="C334" s="143">
        <f>25.4*B334</f>
        <v>1117.6</v>
      </c>
      <c r="D334" s="143">
        <v>9.52</v>
      </c>
      <c r="E334" s="144" t="s">
        <v>86</v>
      </c>
      <c r="F334" s="145">
        <f t="shared" si="378"/>
        <v>2</v>
      </c>
      <c r="G334" s="145">
        <f t="shared" si="379"/>
        <v>2</v>
      </c>
      <c r="H334" s="145">
        <f t="shared" si="380"/>
        <v>2</v>
      </c>
      <c r="I334" s="146">
        <f t="shared" si="381"/>
        <v>5.770298949601782</v>
      </c>
      <c r="J334" s="147"/>
      <c r="K334" s="145">
        <f t="shared" si="382"/>
        <v>0</v>
      </c>
      <c r="L334" s="145">
        <f t="shared" si="383"/>
        <v>6</v>
      </c>
      <c r="M334" s="145">
        <f t="shared" si="384"/>
        <v>15.04</v>
      </c>
      <c r="N334" s="145">
        <f t="shared" si="385"/>
        <v>43.39264810100539</v>
      </c>
      <c r="O334" s="145">
        <f t="shared" si="386"/>
        <v>0</v>
      </c>
      <c r="P334" s="145">
        <f t="shared" si="387"/>
        <v>37.08119579840712</v>
      </c>
      <c r="Q334" s="147">
        <f t="shared" si="388"/>
        <v>95.5138438994125</v>
      </c>
      <c r="R334" s="147"/>
      <c r="S334" s="128">
        <f t="shared" si="389"/>
        <v>0.22658988341428668</v>
      </c>
      <c r="T334" s="128">
        <f t="shared" si="390"/>
        <v>3.640709977001485</v>
      </c>
      <c r="U334" s="145">
        <f t="shared" si="375"/>
        <v>0</v>
      </c>
      <c r="V334" s="145">
        <f t="shared" si="376"/>
        <v>0</v>
      </c>
      <c r="W334" s="128">
        <f t="shared" si="377"/>
        <v>0</v>
      </c>
      <c r="X334" t="str">
        <f t="shared" si="391"/>
        <v>449,52</v>
      </c>
      <c r="Y334" s="151">
        <f t="shared" si="392"/>
        <v>0.22658988341428668</v>
      </c>
      <c r="Z334" s="151">
        <f t="shared" si="393"/>
        <v>3.640709977001485</v>
      </c>
    </row>
    <row r="335" spans="1:26" ht="12.75">
      <c r="A335" s="141">
        <f>+'SMAW-SMAW'!A335</f>
        <v>318</v>
      </c>
      <c r="B335" s="142">
        <v>44</v>
      </c>
      <c r="C335" s="143">
        <f>25.4*B335</f>
        <v>1117.6</v>
      </c>
      <c r="D335" s="143">
        <v>12.7</v>
      </c>
      <c r="E335" s="144" t="s">
        <v>82</v>
      </c>
      <c r="F335" s="145">
        <f t="shared" si="378"/>
        <v>2</v>
      </c>
      <c r="G335" s="145">
        <f t="shared" si="379"/>
        <v>2</v>
      </c>
      <c r="H335" s="145">
        <f t="shared" si="380"/>
        <v>2</v>
      </c>
      <c r="I335" s="146">
        <f t="shared" si="381"/>
        <v>8.210398771374875</v>
      </c>
      <c r="J335" s="147"/>
      <c r="K335" s="145">
        <f t="shared" si="382"/>
        <v>0</v>
      </c>
      <c r="L335" s="145">
        <f t="shared" si="383"/>
        <v>6</v>
      </c>
      <c r="M335" s="145">
        <f t="shared" si="384"/>
        <v>21.4</v>
      </c>
      <c r="N335" s="145">
        <f t="shared" si="385"/>
        <v>87.85126685371115</v>
      </c>
      <c r="O335" s="145">
        <f t="shared" si="386"/>
        <v>0</v>
      </c>
      <c r="P335" s="145">
        <f t="shared" si="387"/>
        <v>46.8415950854995</v>
      </c>
      <c r="Q335" s="147">
        <f t="shared" si="388"/>
        <v>156.09286193921065</v>
      </c>
      <c r="R335" s="147"/>
      <c r="S335" s="128">
        <f t="shared" si="389"/>
        <v>0.22528282379076062</v>
      </c>
      <c r="T335" s="128">
        <f t="shared" si="390"/>
        <v>5.941305037154553</v>
      </c>
      <c r="U335" s="145">
        <f t="shared" si="375"/>
        <v>0</v>
      </c>
      <c r="V335" s="145">
        <f t="shared" si="376"/>
        <v>0</v>
      </c>
      <c r="W335" s="128">
        <f t="shared" si="377"/>
        <v>0</v>
      </c>
      <c r="X335" t="str">
        <f t="shared" si="391"/>
        <v>4412,7</v>
      </c>
      <c r="Y335" s="151">
        <f t="shared" si="392"/>
        <v>0.22528282379076062</v>
      </c>
      <c r="Z335" s="151">
        <f t="shared" si="393"/>
        <v>5.941305037154553</v>
      </c>
    </row>
    <row r="336" spans="1:26" ht="12.75">
      <c r="A336" s="141">
        <f>+'SMAW-SMAW'!A336</f>
        <v>319</v>
      </c>
      <c r="B336" s="142"/>
      <c r="C336" s="143"/>
      <c r="D336" s="143"/>
      <c r="E336" s="144"/>
      <c r="F336" s="145">
        <f t="shared" si="378"/>
        <v>2</v>
      </c>
      <c r="G336" s="145">
        <f t="shared" si="379"/>
        <v>0</v>
      </c>
      <c r="H336" s="145">
        <f t="shared" si="380"/>
        <v>2</v>
      </c>
      <c r="I336" s="146">
        <f t="shared" si="381"/>
        <v>0</v>
      </c>
      <c r="J336" s="147"/>
      <c r="K336" s="145">
        <f t="shared" si="382"/>
        <v>0</v>
      </c>
      <c r="L336" s="145">
        <f t="shared" si="383"/>
        <v>0</v>
      </c>
      <c r="M336" s="145">
        <f t="shared" si="384"/>
        <v>0</v>
      </c>
      <c r="N336" s="145">
        <f t="shared" si="385"/>
        <v>0</v>
      </c>
      <c r="O336" s="145">
        <f t="shared" si="386"/>
        <v>0</v>
      </c>
      <c r="P336" s="145">
        <f t="shared" si="387"/>
        <v>14</v>
      </c>
      <c r="Q336" s="147">
        <f t="shared" si="388"/>
        <v>14</v>
      </c>
      <c r="R336" s="147"/>
      <c r="S336" s="128">
        <f t="shared" si="389"/>
        <v>0</v>
      </c>
      <c r="T336" s="128">
        <f t="shared" si="390"/>
        <v>0</v>
      </c>
      <c r="U336" s="145">
        <f t="shared" si="375"/>
        <v>0</v>
      </c>
      <c r="V336" s="145">
        <f t="shared" si="376"/>
        <v>0</v>
      </c>
      <c r="W336" s="128">
        <f t="shared" si="377"/>
        <v>0</v>
      </c>
      <c r="X336">
        <f t="shared" si="391"/>
      </c>
      <c r="Y336" s="151">
        <f t="shared" si="392"/>
        <v>0</v>
      </c>
      <c r="Z336" s="151">
        <f t="shared" si="393"/>
        <v>0</v>
      </c>
    </row>
    <row r="337" spans="1:26" ht="12.75">
      <c r="A337" s="141">
        <f>+'SMAW-SMAW'!A337</f>
        <v>320</v>
      </c>
      <c r="B337" s="142">
        <v>46</v>
      </c>
      <c r="C337" s="143">
        <f>25.4*B337</f>
        <v>1168.3999999999999</v>
      </c>
      <c r="D337" s="143">
        <v>9.52</v>
      </c>
      <c r="E337" s="144" t="s">
        <v>86</v>
      </c>
      <c r="F337" s="145">
        <f t="shared" si="378"/>
        <v>2</v>
      </c>
      <c r="G337" s="145">
        <f t="shared" si="379"/>
        <v>2</v>
      </c>
      <c r="H337" s="145">
        <f t="shared" si="380"/>
        <v>2</v>
      </c>
      <c r="I337" s="146">
        <f t="shared" si="381"/>
        <v>5.770298949601782</v>
      </c>
      <c r="J337" s="147"/>
      <c r="K337" s="145">
        <f t="shared" si="382"/>
        <v>0</v>
      </c>
      <c r="L337" s="145">
        <f t="shared" si="383"/>
        <v>6</v>
      </c>
      <c r="M337" s="145">
        <f t="shared" si="384"/>
        <v>15.04</v>
      </c>
      <c r="N337" s="145">
        <f t="shared" si="385"/>
        <v>43.39264810100539</v>
      </c>
      <c r="O337" s="145">
        <f t="shared" si="386"/>
        <v>0</v>
      </c>
      <c r="P337" s="145">
        <f t="shared" si="387"/>
        <v>37.08119579840712</v>
      </c>
      <c r="Q337" s="147">
        <f t="shared" si="388"/>
        <v>95.5138438994125</v>
      </c>
      <c r="R337" s="147"/>
      <c r="S337" s="128">
        <f t="shared" si="389"/>
        <v>0.2370299194009411</v>
      </c>
      <c r="T337" s="128">
        <f t="shared" si="390"/>
        <v>3.8069046382570786</v>
      </c>
      <c r="U337" s="145">
        <f t="shared" si="375"/>
        <v>0</v>
      </c>
      <c r="V337" s="145">
        <f t="shared" si="376"/>
        <v>0</v>
      </c>
      <c r="W337" s="128">
        <f t="shared" si="377"/>
        <v>0</v>
      </c>
      <c r="X337" t="str">
        <f t="shared" si="391"/>
        <v>469,52</v>
      </c>
      <c r="Y337" s="151">
        <f t="shared" si="392"/>
        <v>0.2370299194009411</v>
      </c>
      <c r="Z337" s="151">
        <f t="shared" si="393"/>
        <v>3.8069046382570786</v>
      </c>
    </row>
    <row r="338" spans="1:26" ht="12.75">
      <c r="A338" s="141">
        <f>+'SMAW-SMAW'!A338</f>
        <v>321</v>
      </c>
      <c r="B338" s="142">
        <v>46</v>
      </c>
      <c r="C338" s="143">
        <f>25.4*B338</f>
        <v>1168.3999999999999</v>
      </c>
      <c r="D338" s="143">
        <v>12.7</v>
      </c>
      <c r="E338" s="144" t="s">
        <v>82</v>
      </c>
      <c r="F338" s="145">
        <f t="shared" si="378"/>
        <v>2</v>
      </c>
      <c r="G338" s="145">
        <f t="shared" si="379"/>
        <v>2</v>
      </c>
      <c r="H338" s="145">
        <f t="shared" si="380"/>
        <v>2</v>
      </c>
      <c r="I338" s="146">
        <f t="shared" si="381"/>
        <v>8.210398771374875</v>
      </c>
      <c r="J338" s="147"/>
      <c r="K338" s="145">
        <f t="shared" si="382"/>
        <v>0</v>
      </c>
      <c r="L338" s="145">
        <f t="shared" si="383"/>
        <v>6</v>
      </c>
      <c r="M338" s="145">
        <f t="shared" si="384"/>
        <v>21.4</v>
      </c>
      <c r="N338" s="145">
        <f t="shared" si="385"/>
        <v>87.85126685371115</v>
      </c>
      <c r="O338" s="145">
        <f t="shared" si="386"/>
        <v>0</v>
      </c>
      <c r="P338" s="145">
        <f t="shared" si="387"/>
        <v>46.8415950854995</v>
      </c>
      <c r="Q338" s="147">
        <f t="shared" si="388"/>
        <v>156.09286193921065</v>
      </c>
      <c r="R338" s="147"/>
      <c r="S338" s="128">
        <f t="shared" si="389"/>
        <v>0.2357228597774151</v>
      </c>
      <c r="T338" s="128">
        <f t="shared" si="390"/>
        <v>6.212907553138761</v>
      </c>
      <c r="U338" s="145">
        <f t="shared" si="375"/>
        <v>0</v>
      </c>
      <c r="V338" s="145">
        <f t="shared" si="376"/>
        <v>0</v>
      </c>
      <c r="W338" s="128">
        <f t="shared" si="377"/>
        <v>0</v>
      </c>
      <c r="X338" t="str">
        <f t="shared" si="391"/>
        <v>4612,7</v>
      </c>
      <c r="Y338" s="151">
        <f t="shared" si="392"/>
        <v>0.2357228597774151</v>
      </c>
      <c r="Z338" s="151">
        <f t="shared" si="393"/>
        <v>6.212907553138761</v>
      </c>
    </row>
    <row r="339" spans="1:26" ht="12.75">
      <c r="A339" s="141">
        <f>+'SMAW-SMAW'!A339</f>
        <v>322</v>
      </c>
      <c r="B339" s="142"/>
      <c r="C339" s="143"/>
      <c r="D339" s="143"/>
      <c r="E339" s="144"/>
      <c r="F339" s="145">
        <f t="shared" si="378"/>
        <v>2</v>
      </c>
      <c r="G339" s="145">
        <f t="shared" si="379"/>
        <v>0</v>
      </c>
      <c r="H339" s="145">
        <f t="shared" si="380"/>
        <v>2</v>
      </c>
      <c r="I339" s="146">
        <f t="shared" si="381"/>
        <v>0</v>
      </c>
      <c r="J339" s="147"/>
      <c r="K339" s="145">
        <f t="shared" si="382"/>
        <v>0</v>
      </c>
      <c r="L339" s="145">
        <f t="shared" si="383"/>
        <v>0</v>
      </c>
      <c r="M339" s="145">
        <f t="shared" si="384"/>
        <v>0</v>
      </c>
      <c r="N339" s="145">
        <f t="shared" si="385"/>
        <v>0</v>
      </c>
      <c r="O339" s="145">
        <f t="shared" si="386"/>
        <v>0</v>
      </c>
      <c r="P339" s="145">
        <f t="shared" si="387"/>
        <v>14</v>
      </c>
      <c r="Q339" s="147">
        <f t="shared" si="388"/>
        <v>14</v>
      </c>
      <c r="R339" s="147"/>
      <c r="S339" s="128">
        <f t="shared" si="389"/>
        <v>0</v>
      </c>
      <c r="T339" s="128">
        <f t="shared" si="390"/>
        <v>0</v>
      </c>
      <c r="U339" s="145">
        <f t="shared" si="375"/>
        <v>0</v>
      </c>
      <c r="V339" s="145">
        <f t="shared" si="376"/>
        <v>0</v>
      </c>
      <c r="W339" s="128">
        <f t="shared" si="377"/>
        <v>0</v>
      </c>
      <c r="X339">
        <f t="shared" si="391"/>
      </c>
      <c r="Y339" s="151">
        <f t="shared" si="392"/>
        <v>0</v>
      </c>
      <c r="Z339" s="151">
        <f t="shared" si="393"/>
        <v>0</v>
      </c>
    </row>
    <row r="340" spans="1:26" ht="12.75">
      <c r="A340" s="141">
        <f>+'SMAW-SMAW'!A340</f>
        <v>323</v>
      </c>
      <c r="B340" s="142">
        <v>48</v>
      </c>
      <c r="C340" s="143">
        <f>25.4*B340</f>
        <v>1219.1999999999998</v>
      </c>
      <c r="D340" s="143">
        <v>9.52</v>
      </c>
      <c r="E340" s="144" t="s">
        <v>86</v>
      </c>
      <c r="F340" s="145">
        <f t="shared" si="378"/>
        <v>2</v>
      </c>
      <c r="G340" s="145">
        <f t="shared" si="379"/>
        <v>2</v>
      </c>
      <c r="H340" s="145">
        <f t="shared" si="380"/>
        <v>2</v>
      </c>
      <c r="I340" s="146">
        <f t="shared" si="381"/>
        <v>5.770298949601782</v>
      </c>
      <c r="J340" s="147"/>
      <c r="K340" s="145">
        <f t="shared" si="382"/>
        <v>0</v>
      </c>
      <c r="L340" s="145">
        <f t="shared" si="383"/>
        <v>6</v>
      </c>
      <c r="M340" s="145">
        <f t="shared" si="384"/>
        <v>15.04</v>
      </c>
      <c r="N340" s="145">
        <f t="shared" si="385"/>
        <v>43.39264810100539</v>
      </c>
      <c r="O340" s="145">
        <f t="shared" si="386"/>
        <v>0</v>
      </c>
      <c r="P340" s="145">
        <f t="shared" si="387"/>
        <v>37.08119579840712</v>
      </c>
      <c r="Q340" s="147">
        <f t="shared" si="388"/>
        <v>95.5138438994125</v>
      </c>
      <c r="R340" s="147"/>
      <c r="S340" s="128">
        <f t="shared" si="389"/>
        <v>0.24746995538759564</v>
      </c>
      <c r="T340" s="128">
        <f t="shared" si="390"/>
        <v>3.9730992995126715</v>
      </c>
      <c r="U340" s="145">
        <f t="shared" si="375"/>
        <v>0</v>
      </c>
      <c r="V340" s="145">
        <f t="shared" si="376"/>
        <v>0</v>
      </c>
      <c r="W340" s="128">
        <f t="shared" si="377"/>
        <v>0</v>
      </c>
      <c r="X340" t="str">
        <f t="shared" si="391"/>
        <v>489,52</v>
      </c>
      <c r="Y340" s="151">
        <f t="shared" si="392"/>
        <v>0.24746995538759564</v>
      </c>
      <c r="Z340" s="151">
        <f t="shared" si="393"/>
        <v>3.9730992995126715</v>
      </c>
    </row>
    <row r="341" spans="1:26" ht="12.75">
      <c r="A341" s="141">
        <f>+'SMAW-SMAW'!A341</f>
        <v>324</v>
      </c>
      <c r="B341" s="142">
        <v>48</v>
      </c>
      <c r="C341" s="143">
        <f>25.4*B341</f>
        <v>1219.1999999999998</v>
      </c>
      <c r="D341" s="143">
        <v>12.7</v>
      </c>
      <c r="E341" s="144" t="s">
        <v>82</v>
      </c>
      <c r="F341" s="145">
        <f t="shared" si="378"/>
        <v>2</v>
      </c>
      <c r="G341" s="145">
        <f t="shared" si="379"/>
        <v>2</v>
      </c>
      <c r="H341" s="145">
        <f t="shared" si="380"/>
        <v>2</v>
      </c>
      <c r="I341" s="146">
        <f t="shared" si="381"/>
        <v>8.210398771374875</v>
      </c>
      <c r="J341" s="147"/>
      <c r="K341" s="145">
        <f t="shared" si="382"/>
        <v>0</v>
      </c>
      <c r="L341" s="145">
        <f t="shared" si="383"/>
        <v>6</v>
      </c>
      <c r="M341" s="145">
        <f t="shared" si="384"/>
        <v>21.4</v>
      </c>
      <c r="N341" s="145">
        <f t="shared" si="385"/>
        <v>87.85126685371115</v>
      </c>
      <c r="O341" s="145">
        <f t="shared" si="386"/>
        <v>0</v>
      </c>
      <c r="P341" s="145">
        <f t="shared" si="387"/>
        <v>46.8415950854995</v>
      </c>
      <c r="Q341" s="147">
        <f t="shared" si="388"/>
        <v>156.09286193921065</v>
      </c>
      <c r="R341" s="147"/>
      <c r="S341" s="128">
        <f t="shared" si="389"/>
        <v>0.24616289576406952</v>
      </c>
      <c r="T341" s="128">
        <f t="shared" si="390"/>
        <v>6.484510069122968</v>
      </c>
      <c r="U341" s="145">
        <f t="shared" si="375"/>
        <v>0</v>
      </c>
      <c r="V341" s="145">
        <f t="shared" si="376"/>
        <v>0</v>
      </c>
      <c r="W341" s="128">
        <f t="shared" si="377"/>
        <v>0</v>
      </c>
      <c r="X341" t="str">
        <f t="shared" si="391"/>
        <v>4812,7</v>
      </c>
      <c r="Y341" s="151">
        <f t="shared" si="392"/>
        <v>0.24616289576406952</v>
      </c>
      <c r="Z341" s="151">
        <f t="shared" si="393"/>
        <v>6.484510069122968</v>
      </c>
    </row>
    <row r="342" spans="1:26" ht="12.75">
      <c r="A342" s="141">
        <f>+'SMAW-SMAW'!A342</f>
        <v>325</v>
      </c>
      <c r="B342" s="142"/>
      <c r="C342" s="143"/>
      <c r="D342" s="143"/>
      <c r="E342" s="144"/>
      <c r="F342" s="145">
        <f t="shared" si="378"/>
        <v>2</v>
      </c>
      <c r="G342" s="145">
        <f t="shared" si="379"/>
        <v>0</v>
      </c>
      <c r="H342" s="145">
        <f t="shared" si="380"/>
        <v>2</v>
      </c>
      <c r="I342" s="146">
        <f t="shared" si="381"/>
        <v>0</v>
      </c>
      <c r="J342" s="147"/>
      <c r="K342" s="145">
        <f t="shared" si="382"/>
        <v>0</v>
      </c>
      <c r="L342" s="145">
        <f t="shared" si="383"/>
        <v>0</v>
      </c>
      <c r="M342" s="145">
        <f t="shared" si="384"/>
        <v>0</v>
      </c>
      <c r="N342" s="145">
        <f t="shared" si="385"/>
        <v>0</v>
      </c>
      <c r="O342" s="145">
        <f t="shared" si="386"/>
        <v>0</v>
      </c>
      <c r="P342" s="145">
        <f t="shared" si="387"/>
        <v>14</v>
      </c>
      <c r="Q342" s="147">
        <f t="shared" si="388"/>
        <v>14</v>
      </c>
      <c r="R342" s="147"/>
      <c r="S342" s="128">
        <f t="shared" si="389"/>
        <v>0</v>
      </c>
      <c r="T342" s="128">
        <f t="shared" si="390"/>
        <v>0</v>
      </c>
      <c r="U342" s="145">
        <f t="shared" si="375"/>
        <v>0</v>
      </c>
      <c r="V342" s="145">
        <f t="shared" si="376"/>
        <v>0</v>
      </c>
      <c r="W342" s="128">
        <f t="shared" si="377"/>
        <v>0</v>
      </c>
      <c r="X342">
        <f t="shared" si="391"/>
      </c>
      <c r="Y342" s="151">
        <f t="shared" si="392"/>
        <v>0</v>
      </c>
      <c r="Z342" s="151">
        <f t="shared" si="393"/>
        <v>0</v>
      </c>
    </row>
    <row r="343" spans="1:26" ht="12.75">
      <c r="A343" s="141">
        <f>+'SMAW-SMAW'!A343</f>
        <v>326</v>
      </c>
      <c r="B343" s="142">
        <v>50</v>
      </c>
      <c r="C343" s="143">
        <f>25.4*B343</f>
        <v>1270</v>
      </c>
      <c r="D343" s="143">
        <v>9.52</v>
      </c>
      <c r="E343" s="144" t="s">
        <v>86</v>
      </c>
      <c r="F343" s="145">
        <f t="shared" si="378"/>
        <v>2</v>
      </c>
      <c r="G343" s="145">
        <f t="shared" si="379"/>
        <v>2</v>
      </c>
      <c r="H343" s="145">
        <f t="shared" si="380"/>
        <v>2</v>
      </c>
      <c r="I343" s="146">
        <f t="shared" si="381"/>
        <v>5.770298949601782</v>
      </c>
      <c r="J343" s="147"/>
      <c r="K343" s="145">
        <f t="shared" si="382"/>
        <v>0</v>
      </c>
      <c r="L343" s="145">
        <f t="shared" si="383"/>
        <v>6</v>
      </c>
      <c r="M343" s="145">
        <f t="shared" si="384"/>
        <v>15.04</v>
      </c>
      <c r="N343" s="145">
        <f t="shared" si="385"/>
        <v>43.39264810100539</v>
      </c>
      <c r="O343" s="145">
        <f t="shared" si="386"/>
        <v>0</v>
      </c>
      <c r="P343" s="145">
        <f t="shared" si="387"/>
        <v>37.08119579840712</v>
      </c>
      <c r="Q343" s="147">
        <f t="shared" si="388"/>
        <v>95.5138438994125</v>
      </c>
      <c r="R343" s="147"/>
      <c r="S343" s="128">
        <f t="shared" si="389"/>
        <v>0.25790999137425014</v>
      </c>
      <c r="T343" s="128">
        <f t="shared" si="390"/>
        <v>4.139293960768267</v>
      </c>
      <c r="U343" s="145">
        <f t="shared" si="375"/>
        <v>0</v>
      </c>
      <c r="V343" s="145">
        <f t="shared" si="376"/>
        <v>0</v>
      </c>
      <c r="W343" s="128">
        <f t="shared" si="377"/>
        <v>0</v>
      </c>
      <c r="X343" t="str">
        <f t="shared" si="391"/>
        <v>509,52</v>
      </c>
      <c r="Y343" s="151">
        <f t="shared" si="392"/>
        <v>0.25790999137425014</v>
      </c>
      <c r="Z343" s="151">
        <f t="shared" si="393"/>
        <v>4.139293960768267</v>
      </c>
    </row>
    <row r="344" spans="1:26" ht="12.75">
      <c r="A344" s="141">
        <f>+'SMAW-SMAW'!A344</f>
        <v>327</v>
      </c>
      <c r="B344" s="142">
        <v>50</v>
      </c>
      <c r="C344" s="143">
        <f>25.4*B344</f>
        <v>1270</v>
      </c>
      <c r="D344" s="143">
        <v>12.7</v>
      </c>
      <c r="E344" s="144" t="s">
        <v>82</v>
      </c>
      <c r="F344" s="145">
        <f t="shared" si="378"/>
        <v>2</v>
      </c>
      <c r="G344" s="145">
        <f t="shared" si="379"/>
        <v>2</v>
      </c>
      <c r="H344" s="145">
        <f t="shared" si="380"/>
        <v>2</v>
      </c>
      <c r="I344" s="146">
        <f t="shared" si="381"/>
        <v>8.210398771374875</v>
      </c>
      <c r="J344" s="147"/>
      <c r="K344" s="145">
        <f t="shared" si="382"/>
        <v>0</v>
      </c>
      <c r="L344" s="145">
        <f t="shared" si="383"/>
        <v>6</v>
      </c>
      <c r="M344" s="145">
        <f t="shared" si="384"/>
        <v>21.4</v>
      </c>
      <c r="N344" s="145">
        <f t="shared" si="385"/>
        <v>87.85126685371115</v>
      </c>
      <c r="O344" s="145">
        <f t="shared" si="386"/>
        <v>0</v>
      </c>
      <c r="P344" s="145">
        <f t="shared" si="387"/>
        <v>46.8415950854995</v>
      </c>
      <c r="Q344" s="147">
        <f t="shared" si="388"/>
        <v>156.09286193921065</v>
      </c>
      <c r="R344" s="147"/>
      <c r="S344" s="128">
        <f t="shared" si="389"/>
        <v>0.25660293175072413</v>
      </c>
      <c r="T344" s="128">
        <f t="shared" si="390"/>
        <v>6.756112585107177</v>
      </c>
      <c r="U344" s="145">
        <f t="shared" si="375"/>
        <v>0</v>
      </c>
      <c r="V344" s="145">
        <f t="shared" si="376"/>
        <v>0</v>
      </c>
      <c r="W344" s="128">
        <f t="shared" si="377"/>
        <v>0</v>
      </c>
      <c r="X344" t="str">
        <f t="shared" si="391"/>
        <v>5012,7</v>
      </c>
      <c r="Y344" s="151">
        <f t="shared" si="392"/>
        <v>0.25660293175072413</v>
      </c>
      <c r="Z344" s="151">
        <f t="shared" si="393"/>
        <v>6.756112585107177</v>
      </c>
    </row>
    <row r="345" spans="1:26" ht="12.75">
      <c r="A345" s="141">
        <f>+'SMAW-SMAW'!A345</f>
        <v>328</v>
      </c>
      <c r="B345" s="142"/>
      <c r="C345" s="143"/>
      <c r="D345" s="143"/>
      <c r="E345" s="144"/>
      <c r="F345" s="145">
        <f t="shared" si="378"/>
        <v>2</v>
      </c>
      <c r="G345" s="145">
        <f t="shared" si="379"/>
        <v>0</v>
      </c>
      <c r="H345" s="145">
        <f t="shared" si="380"/>
        <v>2</v>
      </c>
      <c r="I345" s="146">
        <f t="shared" si="381"/>
        <v>0</v>
      </c>
      <c r="J345" s="147"/>
      <c r="K345" s="145">
        <f t="shared" si="382"/>
        <v>0</v>
      </c>
      <c r="L345" s="145">
        <f t="shared" si="383"/>
        <v>0</v>
      </c>
      <c r="M345" s="145">
        <f t="shared" si="384"/>
        <v>0</v>
      </c>
      <c r="N345" s="145">
        <f t="shared" si="385"/>
        <v>0</v>
      </c>
      <c r="O345" s="145">
        <f t="shared" si="386"/>
        <v>0</v>
      </c>
      <c r="P345" s="145">
        <f t="shared" si="387"/>
        <v>14</v>
      </c>
      <c r="Q345" s="147">
        <f t="shared" si="388"/>
        <v>14</v>
      </c>
      <c r="R345" s="147"/>
      <c r="S345" s="128">
        <f t="shared" si="389"/>
        <v>0</v>
      </c>
      <c r="T345" s="128">
        <f t="shared" si="390"/>
        <v>0</v>
      </c>
      <c r="U345" s="145">
        <f t="shared" si="375"/>
        <v>0</v>
      </c>
      <c r="V345" s="145">
        <f t="shared" si="376"/>
        <v>0</v>
      </c>
      <c r="W345" s="128">
        <f t="shared" si="377"/>
        <v>0</v>
      </c>
      <c r="X345">
        <f t="shared" si="391"/>
      </c>
      <c r="Y345" s="151">
        <f t="shared" si="392"/>
        <v>0</v>
      </c>
      <c r="Z345" s="151">
        <f t="shared" si="393"/>
        <v>0</v>
      </c>
    </row>
    <row r="346" spans="1:26" ht="12.75">
      <c r="A346" s="141">
        <f>+'SMAW-SMAW'!A346</f>
        <v>329</v>
      </c>
      <c r="B346" s="142">
        <v>52</v>
      </c>
      <c r="C346" s="143">
        <f>25.4*B346</f>
        <v>1320.8</v>
      </c>
      <c r="D346" s="143">
        <v>9.52</v>
      </c>
      <c r="E346" s="144" t="s">
        <v>86</v>
      </c>
      <c r="F346" s="145">
        <f t="shared" si="378"/>
        <v>2</v>
      </c>
      <c r="G346" s="145">
        <f t="shared" si="379"/>
        <v>2</v>
      </c>
      <c r="H346" s="145">
        <f t="shared" si="380"/>
        <v>2</v>
      </c>
      <c r="I346" s="146">
        <f t="shared" si="381"/>
        <v>5.770298949601782</v>
      </c>
      <c r="J346" s="147"/>
      <c r="K346" s="145">
        <f t="shared" si="382"/>
        <v>0</v>
      </c>
      <c r="L346" s="145">
        <f t="shared" si="383"/>
        <v>6</v>
      </c>
      <c r="M346" s="145">
        <f t="shared" si="384"/>
        <v>15.04</v>
      </c>
      <c r="N346" s="145">
        <f t="shared" si="385"/>
        <v>43.39264810100539</v>
      </c>
      <c r="O346" s="145">
        <f t="shared" si="386"/>
        <v>0</v>
      </c>
      <c r="P346" s="145">
        <f t="shared" si="387"/>
        <v>37.08119579840712</v>
      </c>
      <c r="Q346" s="147">
        <f t="shared" si="388"/>
        <v>95.5138438994125</v>
      </c>
      <c r="R346" s="147"/>
      <c r="S346" s="128">
        <f t="shared" si="389"/>
        <v>0.26835002736090463</v>
      </c>
      <c r="T346" s="128">
        <f t="shared" si="390"/>
        <v>4.305488622023862</v>
      </c>
      <c r="U346" s="145">
        <f t="shared" si="375"/>
        <v>0</v>
      </c>
      <c r="V346" s="145">
        <f t="shared" si="376"/>
        <v>0</v>
      </c>
      <c r="W346" s="128">
        <f t="shared" si="377"/>
        <v>0</v>
      </c>
      <c r="X346" t="str">
        <f t="shared" si="391"/>
        <v>529,52</v>
      </c>
      <c r="Y346" s="151">
        <f t="shared" si="392"/>
        <v>0.26835002736090463</v>
      </c>
      <c r="Z346" s="151">
        <f t="shared" si="393"/>
        <v>4.305488622023862</v>
      </c>
    </row>
    <row r="347" spans="1:26" ht="12.75">
      <c r="A347" s="141">
        <f>+'SMAW-SMAW'!A347</f>
        <v>330</v>
      </c>
      <c r="B347" s="142">
        <v>52</v>
      </c>
      <c r="C347" s="143">
        <f>25.4*B347</f>
        <v>1320.8</v>
      </c>
      <c r="D347" s="143">
        <v>12.7</v>
      </c>
      <c r="E347" s="144" t="s">
        <v>82</v>
      </c>
      <c r="F347" s="145">
        <f t="shared" si="378"/>
        <v>2</v>
      </c>
      <c r="G347" s="145">
        <f t="shared" si="379"/>
        <v>2</v>
      </c>
      <c r="H347" s="145">
        <f t="shared" si="380"/>
        <v>2</v>
      </c>
      <c r="I347" s="146">
        <f t="shared" si="381"/>
        <v>8.210398771374875</v>
      </c>
      <c r="J347" s="147"/>
      <c r="K347" s="145">
        <f t="shared" si="382"/>
        <v>0</v>
      </c>
      <c r="L347" s="145">
        <f t="shared" si="383"/>
        <v>6</v>
      </c>
      <c r="M347" s="145">
        <f t="shared" si="384"/>
        <v>21.4</v>
      </c>
      <c r="N347" s="145">
        <f t="shared" si="385"/>
        <v>87.85126685371115</v>
      </c>
      <c r="O347" s="145">
        <f t="shared" si="386"/>
        <v>0</v>
      </c>
      <c r="P347" s="145">
        <f t="shared" si="387"/>
        <v>46.8415950854995</v>
      </c>
      <c r="Q347" s="147">
        <f t="shared" si="388"/>
        <v>156.09286193921065</v>
      </c>
      <c r="R347" s="147"/>
      <c r="S347" s="128">
        <f t="shared" si="389"/>
        <v>0.2670429677373785</v>
      </c>
      <c r="T347" s="128">
        <f t="shared" si="390"/>
        <v>7.027715101091385</v>
      </c>
      <c r="U347" s="145">
        <f t="shared" si="375"/>
        <v>0</v>
      </c>
      <c r="V347" s="145">
        <f t="shared" si="376"/>
        <v>0</v>
      </c>
      <c r="W347" s="128">
        <f t="shared" si="377"/>
        <v>0</v>
      </c>
      <c r="X347" t="str">
        <f t="shared" si="391"/>
        <v>5212,7</v>
      </c>
      <c r="Y347" s="151">
        <f t="shared" si="392"/>
        <v>0.2670429677373785</v>
      </c>
      <c r="Z347" s="151">
        <f t="shared" si="393"/>
        <v>7.027715101091385</v>
      </c>
    </row>
    <row r="348" spans="1:26" ht="12.75">
      <c r="A348" s="141">
        <f>+'SMAW-SMAW'!A348</f>
        <v>331</v>
      </c>
      <c r="B348" s="142"/>
      <c r="C348" s="143"/>
      <c r="D348" s="143"/>
      <c r="E348" s="144"/>
      <c r="F348" s="145">
        <f t="shared" si="378"/>
        <v>2</v>
      </c>
      <c r="G348" s="145">
        <f t="shared" si="379"/>
        <v>0</v>
      </c>
      <c r="H348" s="145">
        <f t="shared" si="380"/>
        <v>2</v>
      </c>
      <c r="I348" s="146">
        <f t="shared" si="381"/>
        <v>0</v>
      </c>
      <c r="J348" s="147"/>
      <c r="K348" s="145">
        <f t="shared" si="382"/>
        <v>0</v>
      </c>
      <c r="L348" s="145">
        <f t="shared" si="383"/>
        <v>0</v>
      </c>
      <c r="M348" s="145">
        <f t="shared" si="384"/>
        <v>0</v>
      </c>
      <c r="N348" s="145">
        <f t="shared" si="385"/>
        <v>0</v>
      </c>
      <c r="O348" s="145">
        <f t="shared" si="386"/>
        <v>0</v>
      </c>
      <c r="P348" s="145">
        <f t="shared" si="387"/>
        <v>14</v>
      </c>
      <c r="Q348" s="147">
        <f t="shared" si="388"/>
        <v>14</v>
      </c>
      <c r="R348" s="147"/>
      <c r="S348" s="128">
        <f t="shared" si="389"/>
        <v>0</v>
      </c>
      <c r="T348" s="128">
        <f t="shared" si="390"/>
        <v>0</v>
      </c>
      <c r="U348" s="145">
        <f t="shared" si="375"/>
        <v>0</v>
      </c>
      <c r="V348" s="145">
        <f t="shared" si="376"/>
        <v>0</v>
      </c>
      <c r="W348" s="128">
        <f t="shared" si="377"/>
        <v>0</v>
      </c>
      <c r="X348">
        <f t="shared" si="391"/>
      </c>
      <c r="Y348" s="151">
        <f t="shared" si="392"/>
        <v>0</v>
      </c>
      <c r="Z348" s="151">
        <f t="shared" si="393"/>
        <v>0</v>
      </c>
    </row>
    <row r="349" spans="1:26" ht="12.75">
      <c r="A349" s="141">
        <f>+'SMAW-SMAW'!A349</f>
        <v>332</v>
      </c>
      <c r="B349" s="142">
        <v>54</v>
      </c>
      <c r="C349" s="143">
        <f>25.4*B349</f>
        <v>1371.6</v>
      </c>
      <c r="D349" s="143">
        <v>9.52</v>
      </c>
      <c r="E349" s="144" t="s">
        <v>86</v>
      </c>
      <c r="F349" s="145">
        <f t="shared" si="378"/>
        <v>2</v>
      </c>
      <c r="G349" s="145">
        <f t="shared" si="379"/>
        <v>2</v>
      </c>
      <c r="H349" s="145">
        <f t="shared" si="380"/>
        <v>2</v>
      </c>
      <c r="I349" s="146">
        <f t="shared" si="381"/>
        <v>5.770298949601782</v>
      </c>
      <c r="J349" s="147"/>
      <c r="K349" s="145">
        <f t="shared" si="382"/>
        <v>0</v>
      </c>
      <c r="L349" s="145">
        <f t="shared" si="383"/>
        <v>6</v>
      </c>
      <c r="M349" s="145">
        <f t="shared" si="384"/>
        <v>15.04</v>
      </c>
      <c r="N349" s="145">
        <f t="shared" si="385"/>
        <v>43.39264810100539</v>
      </c>
      <c r="O349" s="145">
        <f t="shared" si="386"/>
        <v>0</v>
      </c>
      <c r="P349" s="145">
        <f t="shared" si="387"/>
        <v>37.08119579840712</v>
      </c>
      <c r="Q349" s="147">
        <f t="shared" si="388"/>
        <v>95.5138438994125</v>
      </c>
      <c r="R349" s="147"/>
      <c r="S349" s="128">
        <f t="shared" si="389"/>
        <v>0.27879006334755907</v>
      </c>
      <c r="T349" s="128">
        <f t="shared" si="390"/>
        <v>4.4716832832794555</v>
      </c>
      <c r="U349" s="145">
        <f t="shared" si="375"/>
        <v>0</v>
      </c>
      <c r="V349" s="145">
        <f t="shared" si="376"/>
        <v>0</v>
      </c>
      <c r="W349" s="128">
        <f t="shared" si="377"/>
        <v>0</v>
      </c>
      <c r="X349" t="str">
        <f t="shared" si="391"/>
        <v>549,52</v>
      </c>
      <c r="Y349" s="151">
        <f t="shared" si="392"/>
        <v>0.27879006334755907</v>
      </c>
      <c r="Z349" s="151">
        <f t="shared" si="393"/>
        <v>4.4716832832794555</v>
      </c>
    </row>
    <row r="350" spans="1:26" ht="12.75">
      <c r="A350" s="141">
        <f>+'SMAW-SMAW'!A350</f>
        <v>333</v>
      </c>
      <c r="B350" s="142">
        <v>54</v>
      </c>
      <c r="C350" s="143">
        <f>25.4*B350</f>
        <v>1371.6</v>
      </c>
      <c r="D350" s="143">
        <v>12.7</v>
      </c>
      <c r="E350" s="144" t="s">
        <v>82</v>
      </c>
      <c r="F350" s="145">
        <f t="shared" si="378"/>
        <v>2</v>
      </c>
      <c r="G350" s="145">
        <f t="shared" si="379"/>
        <v>2</v>
      </c>
      <c r="H350" s="145">
        <f t="shared" si="380"/>
        <v>2</v>
      </c>
      <c r="I350" s="146">
        <f t="shared" si="381"/>
        <v>8.210398771374875</v>
      </c>
      <c r="J350" s="147"/>
      <c r="K350" s="145">
        <f t="shared" si="382"/>
        <v>0</v>
      </c>
      <c r="L350" s="145">
        <f t="shared" si="383"/>
        <v>6</v>
      </c>
      <c r="M350" s="145">
        <f t="shared" si="384"/>
        <v>21.4</v>
      </c>
      <c r="N350" s="145">
        <f t="shared" si="385"/>
        <v>87.85126685371115</v>
      </c>
      <c r="O350" s="145">
        <f t="shared" si="386"/>
        <v>0</v>
      </c>
      <c r="P350" s="145">
        <f t="shared" si="387"/>
        <v>46.8415950854995</v>
      </c>
      <c r="Q350" s="147">
        <f t="shared" si="388"/>
        <v>156.09286193921065</v>
      </c>
      <c r="R350" s="147"/>
      <c r="S350" s="128">
        <f t="shared" si="389"/>
        <v>0.27748300372403295</v>
      </c>
      <c r="T350" s="128">
        <f t="shared" si="390"/>
        <v>7.299317617075593</v>
      </c>
      <c r="U350" s="145">
        <f t="shared" si="375"/>
        <v>0</v>
      </c>
      <c r="V350" s="145">
        <f t="shared" si="376"/>
        <v>0</v>
      </c>
      <c r="W350" s="128">
        <f t="shared" si="377"/>
        <v>0</v>
      </c>
      <c r="X350" t="str">
        <f t="shared" si="391"/>
        <v>5412,7</v>
      </c>
      <c r="Y350" s="151">
        <f t="shared" si="392"/>
        <v>0.27748300372403295</v>
      </c>
      <c r="Z350" s="151">
        <f t="shared" si="393"/>
        <v>7.299317617075593</v>
      </c>
    </row>
    <row r="351" spans="1:26" ht="12.75">
      <c r="A351" s="141">
        <f>+'SMAW-SMAW'!A351</f>
        <v>334</v>
      </c>
      <c r="B351" s="142"/>
      <c r="C351" s="143"/>
      <c r="D351" s="143"/>
      <c r="E351" s="144"/>
      <c r="F351" s="145">
        <f t="shared" si="378"/>
        <v>2</v>
      </c>
      <c r="G351" s="145">
        <f t="shared" si="379"/>
        <v>0</v>
      </c>
      <c r="H351" s="145">
        <f t="shared" si="380"/>
        <v>2</v>
      </c>
      <c r="I351" s="146">
        <f t="shared" si="381"/>
        <v>0</v>
      </c>
      <c r="J351" s="147"/>
      <c r="K351" s="145">
        <f t="shared" si="382"/>
        <v>0</v>
      </c>
      <c r="L351" s="145">
        <f t="shared" si="383"/>
        <v>0</v>
      </c>
      <c r="M351" s="145">
        <f t="shared" si="384"/>
        <v>0</v>
      </c>
      <c r="N351" s="145">
        <f t="shared" si="385"/>
        <v>0</v>
      </c>
      <c r="O351" s="145">
        <f t="shared" si="386"/>
        <v>0</v>
      </c>
      <c r="P351" s="145">
        <f t="shared" si="387"/>
        <v>14</v>
      </c>
      <c r="Q351" s="147">
        <f t="shared" si="388"/>
        <v>14</v>
      </c>
      <c r="R351" s="147"/>
      <c r="S351" s="128">
        <f t="shared" si="389"/>
        <v>0</v>
      </c>
      <c r="T351" s="128">
        <f t="shared" si="390"/>
        <v>0</v>
      </c>
      <c r="U351" s="145">
        <f t="shared" si="375"/>
        <v>0</v>
      </c>
      <c r="V351" s="145">
        <f t="shared" si="376"/>
        <v>0</v>
      </c>
      <c r="W351" s="128">
        <f t="shared" si="377"/>
        <v>0</v>
      </c>
      <c r="X351">
        <f t="shared" si="391"/>
      </c>
      <c r="Y351" s="151">
        <f t="shared" si="392"/>
        <v>0</v>
      </c>
      <c r="Z351" s="151">
        <f t="shared" si="393"/>
        <v>0</v>
      </c>
    </row>
    <row r="352" spans="1:26" ht="12.75">
      <c r="A352" s="141">
        <f>+'SMAW-SMAW'!A352</f>
        <v>335</v>
      </c>
      <c r="B352" s="142">
        <v>56</v>
      </c>
      <c r="C352" s="143">
        <f>25.4*B352</f>
        <v>1422.3999999999999</v>
      </c>
      <c r="D352" s="143">
        <v>9.52</v>
      </c>
      <c r="E352" s="144" t="s">
        <v>86</v>
      </c>
      <c r="F352" s="145">
        <f t="shared" si="378"/>
        <v>2</v>
      </c>
      <c r="G352" s="145">
        <f t="shared" si="379"/>
        <v>2</v>
      </c>
      <c r="H352" s="145">
        <f t="shared" si="380"/>
        <v>2</v>
      </c>
      <c r="I352" s="146">
        <f t="shared" si="381"/>
        <v>5.770298949601782</v>
      </c>
      <c r="J352" s="147"/>
      <c r="K352" s="145">
        <f t="shared" si="382"/>
        <v>0</v>
      </c>
      <c r="L352" s="145">
        <f t="shared" si="383"/>
        <v>6</v>
      </c>
      <c r="M352" s="145">
        <f t="shared" si="384"/>
        <v>15.04</v>
      </c>
      <c r="N352" s="145">
        <f t="shared" si="385"/>
        <v>43.39264810100539</v>
      </c>
      <c r="O352" s="145">
        <f t="shared" si="386"/>
        <v>0</v>
      </c>
      <c r="P352" s="145">
        <f t="shared" si="387"/>
        <v>37.08119579840712</v>
      </c>
      <c r="Q352" s="147">
        <f t="shared" si="388"/>
        <v>95.5138438994125</v>
      </c>
      <c r="R352" s="147"/>
      <c r="S352" s="128">
        <f t="shared" si="389"/>
        <v>0.28923009933421356</v>
      </c>
      <c r="T352" s="128">
        <f t="shared" si="390"/>
        <v>4.637877944535049</v>
      </c>
      <c r="U352" s="145">
        <f t="shared" si="375"/>
        <v>0</v>
      </c>
      <c r="V352" s="145">
        <f t="shared" si="376"/>
        <v>0</v>
      </c>
      <c r="W352" s="128">
        <f t="shared" si="377"/>
        <v>0</v>
      </c>
      <c r="X352" t="str">
        <f t="shared" si="391"/>
        <v>569,52</v>
      </c>
      <c r="Y352" s="151">
        <f t="shared" si="392"/>
        <v>0.28923009933421356</v>
      </c>
      <c r="Z352" s="151">
        <f t="shared" si="393"/>
        <v>4.637877944535049</v>
      </c>
    </row>
    <row r="353" spans="1:26" ht="12.75">
      <c r="A353" s="141">
        <f>+'SMAW-SMAW'!A353</f>
        <v>336</v>
      </c>
      <c r="B353" s="142">
        <v>56</v>
      </c>
      <c r="C353" s="143">
        <f>25.4*B353</f>
        <v>1422.3999999999999</v>
      </c>
      <c r="D353" s="143">
        <v>12.7</v>
      </c>
      <c r="E353" s="144" t="s">
        <v>82</v>
      </c>
      <c r="F353" s="145">
        <f t="shared" si="378"/>
        <v>2</v>
      </c>
      <c r="G353" s="145">
        <f t="shared" si="379"/>
        <v>2</v>
      </c>
      <c r="H353" s="145">
        <f t="shared" si="380"/>
        <v>2</v>
      </c>
      <c r="I353" s="146">
        <f t="shared" si="381"/>
        <v>8.210398771374875</v>
      </c>
      <c r="J353" s="147"/>
      <c r="K353" s="145">
        <f t="shared" si="382"/>
        <v>0</v>
      </c>
      <c r="L353" s="145">
        <f t="shared" si="383"/>
        <v>6</v>
      </c>
      <c r="M353" s="145">
        <f t="shared" si="384"/>
        <v>21.4</v>
      </c>
      <c r="N353" s="145">
        <f t="shared" si="385"/>
        <v>87.85126685371115</v>
      </c>
      <c r="O353" s="145">
        <f t="shared" si="386"/>
        <v>0</v>
      </c>
      <c r="P353" s="145">
        <f t="shared" si="387"/>
        <v>46.8415950854995</v>
      </c>
      <c r="Q353" s="147">
        <f t="shared" si="388"/>
        <v>156.09286193921065</v>
      </c>
      <c r="R353" s="147"/>
      <c r="S353" s="128">
        <f t="shared" si="389"/>
        <v>0.2879230397106875</v>
      </c>
      <c r="T353" s="128">
        <f t="shared" si="390"/>
        <v>7.570920133059799</v>
      </c>
      <c r="U353" s="145">
        <f t="shared" si="375"/>
        <v>0</v>
      </c>
      <c r="V353" s="145">
        <f t="shared" si="376"/>
        <v>0</v>
      </c>
      <c r="W353" s="128">
        <f t="shared" si="377"/>
        <v>0</v>
      </c>
      <c r="X353" t="str">
        <f t="shared" si="391"/>
        <v>5612,7</v>
      </c>
      <c r="Y353" s="151">
        <f t="shared" si="392"/>
        <v>0.2879230397106875</v>
      </c>
      <c r="Z353" s="151">
        <f t="shared" si="393"/>
        <v>7.570920133059799</v>
      </c>
    </row>
    <row r="354" spans="1:26" ht="12.75">
      <c r="A354" s="141">
        <f>+'SMAW-SMAW'!A354</f>
        <v>337</v>
      </c>
      <c r="B354" s="142"/>
      <c r="C354" s="143"/>
      <c r="D354" s="143"/>
      <c r="E354" s="144"/>
      <c r="F354" s="145">
        <f t="shared" si="378"/>
        <v>2</v>
      </c>
      <c r="G354" s="145">
        <f t="shared" si="379"/>
        <v>0</v>
      </c>
      <c r="H354" s="145">
        <f t="shared" si="380"/>
        <v>2</v>
      </c>
      <c r="I354" s="146">
        <f t="shared" si="381"/>
        <v>0</v>
      </c>
      <c r="J354" s="147"/>
      <c r="K354" s="145">
        <f t="shared" si="382"/>
        <v>0</v>
      </c>
      <c r="L354" s="145">
        <f t="shared" si="383"/>
        <v>0</v>
      </c>
      <c r="M354" s="145">
        <f t="shared" si="384"/>
        <v>0</v>
      </c>
      <c r="N354" s="145">
        <f t="shared" si="385"/>
        <v>0</v>
      </c>
      <c r="O354" s="145">
        <f t="shared" si="386"/>
        <v>0</v>
      </c>
      <c r="P354" s="145">
        <f t="shared" si="387"/>
        <v>14</v>
      </c>
      <c r="Q354" s="147">
        <f t="shared" si="388"/>
        <v>14</v>
      </c>
      <c r="R354" s="147"/>
      <c r="S354" s="128">
        <f t="shared" si="389"/>
        <v>0</v>
      </c>
      <c r="T354" s="128">
        <f t="shared" si="390"/>
        <v>0</v>
      </c>
      <c r="U354" s="145">
        <f t="shared" si="375"/>
        <v>0</v>
      </c>
      <c r="V354" s="145">
        <f t="shared" si="376"/>
        <v>0</v>
      </c>
      <c r="W354" s="128">
        <f t="shared" si="377"/>
        <v>0</v>
      </c>
      <c r="X354">
        <f t="shared" si="391"/>
      </c>
      <c r="Y354" s="151">
        <f t="shared" si="392"/>
        <v>0</v>
      </c>
      <c r="Z354" s="151">
        <f t="shared" si="393"/>
        <v>0</v>
      </c>
    </row>
    <row r="355" spans="1:26" ht="12.75">
      <c r="A355" s="141">
        <f>+'SMAW-SMAW'!A355</f>
        <v>338</v>
      </c>
      <c r="B355" s="142">
        <v>58</v>
      </c>
      <c r="C355" s="143">
        <f>25.4*B355</f>
        <v>1473.1999999999998</v>
      </c>
      <c r="D355" s="143">
        <v>9.52</v>
      </c>
      <c r="E355" s="144" t="s">
        <v>86</v>
      </c>
      <c r="F355" s="145">
        <f t="shared" si="378"/>
        <v>2</v>
      </c>
      <c r="G355" s="145">
        <f t="shared" si="379"/>
        <v>2</v>
      </c>
      <c r="H355" s="145">
        <f t="shared" si="380"/>
        <v>2</v>
      </c>
      <c r="I355" s="146">
        <f t="shared" si="381"/>
        <v>5.770298949601782</v>
      </c>
      <c r="J355" s="147"/>
      <c r="K355" s="145">
        <f t="shared" si="382"/>
        <v>0</v>
      </c>
      <c r="L355" s="145">
        <f t="shared" si="383"/>
        <v>6</v>
      </c>
      <c r="M355" s="145">
        <f t="shared" si="384"/>
        <v>15.04</v>
      </c>
      <c r="N355" s="145">
        <f t="shared" si="385"/>
        <v>43.39264810100539</v>
      </c>
      <c r="O355" s="145">
        <f t="shared" si="386"/>
        <v>0</v>
      </c>
      <c r="P355" s="145">
        <f t="shared" si="387"/>
        <v>37.08119579840712</v>
      </c>
      <c r="Q355" s="147">
        <f t="shared" si="388"/>
        <v>95.5138438994125</v>
      </c>
      <c r="R355" s="147"/>
      <c r="S355" s="128">
        <f t="shared" si="389"/>
        <v>0.29967013532086795</v>
      </c>
      <c r="T355" s="128">
        <f t="shared" si="390"/>
        <v>4.804072605790642</v>
      </c>
      <c r="U355" s="145">
        <f t="shared" si="375"/>
        <v>0</v>
      </c>
      <c r="V355" s="145">
        <f t="shared" si="376"/>
        <v>0</v>
      </c>
      <c r="W355" s="128">
        <f t="shared" si="377"/>
        <v>0</v>
      </c>
      <c r="X355" t="str">
        <f t="shared" si="391"/>
        <v>589,52</v>
      </c>
      <c r="Y355" s="151">
        <f t="shared" si="392"/>
        <v>0.29967013532086795</v>
      </c>
      <c r="Z355" s="151">
        <f t="shared" si="393"/>
        <v>4.804072605790642</v>
      </c>
    </row>
    <row r="356" spans="1:26" ht="12.75">
      <c r="A356" s="141">
        <f>+'SMAW-SMAW'!A356</f>
        <v>339</v>
      </c>
      <c r="B356" s="142">
        <v>58</v>
      </c>
      <c r="C356" s="143">
        <f>25.4*B356</f>
        <v>1473.1999999999998</v>
      </c>
      <c r="D356" s="143">
        <v>12.7</v>
      </c>
      <c r="E356" s="144" t="s">
        <v>82</v>
      </c>
      <c r="F356" s="145">
        <f t="shared" si="378"/>
        <v>2</v>
      </c>
      <c r="G356" s="145">
        <f t="shared" si="379"/>
        <v>2</v>
      </c>
      <c r="H356" s="145">
        <f t="shared" si="380"/>
        <v>2</v>
      </c>
      <c r="I356" s="146">
        <f t="shared" si="381"/>
        <v>8.210398771374875</v>
      </c>
      <c r="J356" s="147"/>
      <c r="K356" s="145">
        <f t="shared" si="382"/>
        <v>0</v>
      </c>
      <c r="L356" s="145">
        <f t="shared" si="383"/>
        <v>6</v>
      </c>
      <c r="M356" s="145">
        <f t="shared" si="384"/>
        <v>21.4</v>
      </c>
      <c r="N356" s="145">
        <f t="shared" si="385"/>
        <v>87.85126685371115</v>
      </c>
      <c r="O356" s="145">
        <f t="shared" si="386"/>
        <v>0</v>
      </c>
      <c r="P356" s="145">
        <f t="shared" si="387"/>
        <v>46.8415950854995</v>
      </c>
      <c r="Q356" s="147">
        <f t="shared" si="388"/>
        <v>156.09286193921065</v>
      </c>
      <c r="R356" s="147"/>
      <c r="S356" s="128">
        <f t="shared" si="389"/>
        <v>0.298363075697342</v>
      </c>
      <c r="T356" s="128">
        <f t="shared" si="390"/>
        <v>7.842522649044008</v>
      </c>
      <c r="U356" s="145">
        <f t="shared" si="375"/>
        <v>0</v>
      </c>
      <c r="V356" s="145">
        <f t="shared" si="376"/>
        <v>0</v>
      </c>
      <c r="W356" s="128">
        <f t="shared" si="377"/>
        <v>0</v>
      </c>
      <c r="X356" t="str">
        <f t="shared" si="391"/>
        <v>5812,7</v>
      </c>
      <c r="Y356" s="151">
        <f t="shared" si="392"/>
        <v>0.298363075697342</v>
      </c>
      <c r="Z356" s="151">
        <f t="shared" si="393"/>
        <v>7.842522649044008</v>
      </c>
    </row>
    <row r="357" spans="1:26" ht="12.75">
      <c r="A357" s="141">
        <f>+'SMAW-SMAW'!A357</f>
        <v>340</v>
      </c>
      <c r="B357" s="142"/>
      <c r="C357" s="143"/>
      <c r="D357" s="143"/>
      <c r="E357" s="144"/>
      <c r="F357" s="145">
        <f t="shared" si="378"/>
        <v>2</v>
      </c>
      <c r="G357" s="145">
        <f t="shared" si="379"/>
        <v>0</v>
      </c>
      <c r="H357" s="145">
        <f t="shared" si="380"/>
        <v>2</v>
      </c>
      <c r="I357" s="146">
        <f t="shared" si="381"/>
        <v>0</v>
      </c>
      <c r="J357" s="147"/>
      <c r="K357" s="145">
        <f t="shared" si="382"/>
        <v>0</v>
      </c>
      <c r="L357" s="145">
        <f t="shared" si="383"/>
        <v>0</v>
      </c>
      <c r="M357" s="145">
        <f t="shared" si="384"/>
        <v>0</v>
      </c>
      <c r="N357" s="145">
        <f t="shared" si="385"/>
        <v>0</v>
      </c>
      <c r="O357" s="145">
        <f t="shared" si="386"/>
        <v>0</v>
      </c>
      <c r="P357" s="145">
        <f t="shared" si="387"/>
        <v>14</v>
      </c>
      <c r="Q357" s="147">
        <f t="shared" si="388"/>
        <v>14</v>
      </c>
      <c r="R357" s="147"/>
      <c r="S357" s="128">
        <f t="shared" si="389"/>
        <v>0</v>
      </c>
      <c r="T357" s="128">
        <f t="shared" si="390"/>
        <v>0</v>
      </c>
      <c r="U357" s="145">
        <f t="shared" si="375"/>
        <v>0</v>
      </c>
      <c r="V357" s="145">
        <f t="shared" si="376"/>
        <v>0</v>
      </c>
      <c r="W357" s="128">
        <f t="shared" si="377"/>
        <v>0</v>
      </c>
      <c r="X357">
        <f t="shared" si="391"/>
      </c>
      <c r="Y357" s="151">
        <f t="shared" si="392"/>
        <v>0</v>
      </c>
      <c r="Z357" s="151">
        <f t="shared" si="393"/>
        <v>0</v>
      </c>
    </row>
    <row r="358" spans="1:26" ht="12.75">
      <c r="A358" s="141">
        <f>+'SMAW-SMAW'!A358</f>
        <v>341</v>
      </c>
      <c r="B358" s="142">
        <v>60</v>
      </c>
      <c r="C358" s="143">
        <f>25.4*B358</f>
        <v>1524</v>
      </c>
      <c r="D358" s="143">
        <v>9.52</v>
      </c>
      <c r="E358" s="144" t="s">
        <v>86</v>
      </c>
      <c r="F358" s="145">
        <f t="shared" si="378"/>
        <v>2</v>
      </c>
      <c r="G358" s="145">
        <f t="shared" si="379"/>
        <v>2</v>
      </c>
      <c r="H358" s="145">
        <f t="shared" si="380"/>
        <v>2</v>
      </c>
      <c r="I358" s="146">
        <f t="shared" si="381"/>
        <v>5.770298949601782</v>
      </c>
      <c r="J358" s="147"/>
      <c r="K358" s="145">
        <f t="shared" si="382"/>
        <v>0</v>
      </c>
      <c r="L358" s="145">
        <f t="shared" si="383"/>
        <v>6</v>
      </c>
      <c r="M358" s="145">
        <f t="shared" si="384"/>
        <v>15.04</v>
      </c>
      <c r="N358" s="145">
        <f t="shared" si="385"/>
        <v>43.39264810100539</v>
      </c>
      <c r="O358" s="145">
        <f t="shared" si="386"/>
        <v>0</v>
      </c>
      <c r="P358" s="145">
        <f t="shared" si="387"/>
        <v>37.08119579840712</v>
      </c>
      <c r="Q358" s="147">
        <f t="shared" si="388"/>
        <v>95.5138438994125</v>
      </c>
      <c r="R358" s="147"/>
      <c r="S358" s="128">
        <f t="shared" si="389"/>
        <v>0.31011017130752255</v>
      </c>
      <c r="T358" s="128">
        <f t="shared" si="390"/>
        <v>4.970267267046238</v>
      </c>
      <c r="U358" s="145">
        <f t="shared" si="375"/>
        <v>0</v>
      </c>
      <c r="V358" s="145">
        <f t="shared" si="376"/>
        <v>0</v>
      </c>
      <c r="W358" s="128">
        <f t="shared" si="377"/>
        <v>0</v>
      </c>
      <c r="X358" t="str">
        <f t="shared" si="391"/>
        <v>609,52</v>
      </c>
      <c r="Y358" s="151">
        <f t="shared" si="392"/>
        <v>0.31011017130752255</v>
      </c>
      <c r="Z358" s="151">
        <f t="shared" si="393"/>
        <v>4.970267267046238</v>
      </c>
    </row>
    <row r="359" spans="1:26" ht="12.75">
      <c r="A359" s="141">
        <f>+'SMAW-SMAW'!A359</f>
        <v>342</v>
      </c>
      <c r="B359" s="142">
        <v>60</v>
      </c>
      <c r="C359" s="143">
        <f>25.4*B359</f>
        <v>1524</v>
      </c>
      <c r="D359" s="143">
        <v>12.7</v>
      </c>
      <c r="E359" s="144" t="s">
        <v>82</v>
      </c>
      <c r="F359" s="145">
        <f t="shared" si="378"/>
        <v>2</v>
      </c>
      <c r="G359" s="145">
        <f t="shared" si="379"/>
        <v>2</v>
      </c>
      <c r="H359" s="145">
        <f t="shared" si="380"/>
        <v>2</v>
      </c>
      <c r="I359" s="146">
        <f t="shared" si="381"/>
        <v>8.210398771374875</v>
      </c>
      <c r="J359" s="147"/>
      <c r="K359" s="145">
        <f t="shared" si="382"/>
        <v>0</v>
      </c>
      <c r="L359" s="145">
        <f t="shared" si="383"/>
        <v>6</v>
      </c>
      <c r="M359" s="145">
        <f t="shared" si="384"/>
        <v>21.4</v>
      </c>
      <c r="N359" s="145">
        <f t="shared" si="385"/>
        <v>87.85126685371115</v>
      </c>
      <c r="O359" s="145">
        <f t="shared" si="386"/>
        <v>0</v>
      </c>
      <c r="P359" s="145">
        <f t="shared" si="387"/>
        <v>46.8415950854995</v>
      </c>
      <c r="Q359" s="147">
        <f t="shared" si="388"/>
        <v>156.09286193921065</v>
      </c>
      <c r="R359" s="147"/>
      <c r="S359" s="128">
        <f t="shared" si="389"/>
        <v>0.3088031116839965</v>
      </c>
      <c r="T359" s="128">
        <f t="shared" si="390"/>
        <v>8.114125165028218</v>
      </c>
      <c r="U359" s="145">
        <f t="shared" si="375"/>
        <v>0</v>
      </c>
      <c r="V359" s="145">
        <f t="shared" si="376"/>
        <v>0</v>
      </c>
      <c r="W359" s="128">
        <f t="shared" si="377"/>
        <v>0</v>
      </c>
      <c r="X359" t="str">
        <f t="shared" si="391"/>
        <v>6012,7</v>
      </c>
      <c r="Y359" s="151">
        <f t="shared" si="392"/>
        <v>0.3088031116839965</v>
      </c>
      <c r="Z359" s="151">
        <f t="shared" si="393"/>
        <v>8.114125165028218</v>
      </c>
    </row>
    <row r="360" spans="1:26" ht="12.75">
      <c r="A360" s="148"/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>
        <f t="shared" si="391"/>
      </c>
      <c r="Y360" s="151">
        <f t="shared" si="392"/>
        <v>0</v>
      </c>
      <c r="Z360" s="151">
        <f t="shared" si="393"/>
        <v>0</v>
      </c>
    </row>
  </sheetData>
  <sheetProtection/>
  <dataValidations count="1">
    <dataValidation allowBlank="1" showInputMessage="1" showErrorMessage="1" promptTitle="DATA  INPUT" prompt="All calculation are for SMAW unless  you  enter Value  &quot;1&quot;  in cell  D6 to get values for Root Pass GTAW. All other  Passes Arc Welding. " sqref="D6:E6"/>
  </dataValidations>
  <printOptions horizontalCentered="1"/>
  <pageMargins left="0.25" right="0.25" top="0.5" bottom="0.5" header="0.25" footer="0.25"/>
  <pageSetup fitToHeight="4" fitToWidth="2" horizontalDpi="300" verticalDpi="300" orientation="landscape" paperSize="9" scale="85" r:id="rId2"/>
  <headerFooter alignWithMargins="0">
    <oddHeader>&amp;L&amp;D   &amp;T</oddHead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5" zoomScaleNormal="75" zoomScalePageLayoutView="0" workbookViewId="0" topLeftCell="A3">
      <selection activeCell="A8" sqref="A8"/>
    </sheetView>
  </sheetViews>
  <sheetFormatPr defaultColWidth="9.140625" defaultRowHeight="12.75"/>
  <cols>
    <col min="1" max="1" width="3.140625" style="0" customWidth="1"/>
    <col min="2" max="2" width="5.8515625" style="0" customWidth="1"/>
    <col min="3" max="3" width="7.421875" style="0" customWidth="1"/>
    <col min="4" max="4" width="6.8515625" style="0" customWidth="1"/>
    <col min="5" max="6" width="7.57421875" style="0" customWidth="1"/>
    <col min="7" max="11" width="7.7109375" style="0" customWidth="1"/>
    <col min="12" max="12" width="9.8515625" style="0" customWidth="1"/>
    <col min="14" max="14" width="7.7109375" style="0" customWidth="1"/>
    <col min="15" max="15" width="8.7109375" style="0" customWidth="1"/>
    <col min="16" max="17" width="7.7109375" style="0" customWidth="1"/>
    <col min="18" max="18" width="7.57421875" style="0" customWidth="1"/>
    <col min="19" max="19" width="8.00390625" style="0" customWidth="1"/>
    <col min="20" max="20" width="7.421875" style="0" customWidth="1"/>
    <col min="21" max="21" width="7.7109375" style="0" customWidth="1"/>
    <col min="22" max="22" width="8.7109375" style="0" customWidth="1"/>
    <col min="23" max="24" width="7.7109375" style="0" customWidth="1"/>
    <col min="25" max="25" width="7.57421875" style="0" customWidth="1"/>
  </cols>
  <sheetData>
    <row r="1" spans="1:25" ht="15.75">
      <c r="A1" s="39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3:25" ht="12.75"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2.75">
      <c r="A3" s="15" t="s">
        <v>8</v>
      </c>
      <c r="B3" s="15" t="s">
        <v>30</v>
      </c>
      <c r="C3" s="15" t="s">
        <v>6</v>
      </c>
      <c r="D3" s="15" t="s">
        <v>7</v>
      </c>
      <c r="E3" s="70" t="s">
        <v>45</v>
      </c>
      <c r="F3" s="15" t="s">
        <v>74</v>
      </c>
      <c r="G3" s="15" t="s">
        <v>66</v>
      </c>
      <c r="H3" s="15" t="s">
        <v>71</v>
      </c>
      <c r="I3" s="16" t="s">
        <v>68</v>
      </c>
      <c r="J3" s="16"/>
      <c r="K3" s="15"/>
      <c r="L3" s="16" t="s">
        <v>68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7"/>
    </row>
    <row r="4" spans="1:25" ht="15" customHeight="1">
      <c r="A4" s="3" t="s">
        <v>9</v>
      </c>
      <c r="B4" s="3" t="s">
        <v>0</v>
      </c>
      <c r="C4" s="3" t="s">
        <v>1</v>
      </c>
      <c r="D4" s="3" t="s">
        <v>1</v>
      </c>
      <c r="E4" s="26" t="s">
        <v>46</v>
      </c>
      <c r="F4" s="3" t="s">
        <v>66</v>
      </c>
      <c r="G4" s="3" t="s">
        <v>67</v>
      </c>
      <c r="H4" s="3" t="s">
        <v>73</v>
      </c>
      <c r="I4" s="3" t="s">
        <v>69</v>
      </c>
      <c r="J4" s="3" t="s">
        <v>69</v>
      </c>
      <c r="K4" s="3"/>
      <c r="L4" s="3" t="s">
        <v>77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67" t="s">
        <v>56</v>
      </c>
    </row>
    <row r="5" spans="1:25" ht="13.5" customHeight="1">
      <c r="A5" s="3"/>
      <c r="B5" s="3"/>
      <c r="C5" s="3"/>
      <c r="D5" s="3"/>
      <c r="E5" s="26" t="s">
        <v>47</v>
      </c>
      <c r="F5" s="3" t="s">
        <v>75</v>
      </c>
      <c r="G5" s="18" t="s">
        <v>1</v>
      </c>
      <c r="H5" s="18" t="s">
        <v>72</v>
      </c>
      <c r="I5" s="18" t="s">
        <v>70</v>
      </c>
      <c r="J5" s="3" t="s">
        <v>66</v>
      </c>
      <c r="K5" s="3"/>
      <c r="L5" s="3" t="s">
        <v>76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64" t="s">
        <v>63</v>
      </c>
    </row>
    <row r="6" spans="1:25" ht="12.75">
      <c r="A6" s="21"/>
      <c r="B6" s="21"/>
      <c r="C6" s="21"/>
      <c r="D6" s="21"/>
      <c r="E6" s="71"/>
      <c r="F6" s="22"/>
      <c r="G6" s="22"/>
      <c r="H6" s="22"/>
      <c r="I6" s="22"/>
      <c r="J6" s="22"/>
      <c r="K6" s="22"/>
      <c r="L6" s="22">
        <v>1</v>
      </c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65"/>
    </row>
    <row r="7" spans="1:25" ht="15" customHeight="1">
      <c r="A7" s="69"/>
      <c r="B7" s="7"/>
      <c r="C7" s="7"/>
      <c r="D7" s="7"/>
      <c r="E7" s="7"/>
      <c r="F7" s="26"/>
      <c r="G7" s="66"/>
      <c r="H7" s="66"/>
      <c r="I7" s="66"/>
      <c r="J7" s="66"/>
      <c r="K7" s="66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6" ht="15" customHeight="1">
      <c r="A8" s="28">
        <v>1</v>
      </c>
      <c r="B8" s="54">
        <f>+'SMAW-SMAW'!B18</f>
        <v>0.5</v>
      </c>
      <c r="C8" s="56">
        <f>+'SMAW-SMAW'!C18</f>
        <v>21.3</v>
      </c>
      <c r="D8" s="54">
        <f>+'SMAW-SMAW'!D18</f>
        <v>1.65</v>
      </c>
      <c r="E8" s="72">
        <f aca="true" t="shared" si="0" ref="E8:E33">+PI()*D8*(C8-D8)*0.00785</f>
        <v>0.7995875593164683</v>
      </c>
      <c r="F8" s="98">
        <v>20</v>
      </c>
      <c r="G8" s="95">
        <f>+F8*C8</f>
        <v>426</v>
      </c>
      <c r="H8" s="102">
        <f>1000/G8</f>
        <v>2.347417840375587</v>
      </c>
      <c r="I8" s="114">
        <v>430</v>
      </c>
      <c r="J8" s="117">
        <f>+I8*G8*E8/1000000</f>
        <v>0.14646844911559065</v>
      </c>
      <c r="K8" s="120">
        <v>5</v>
      </c>
      <c r="L8" s="108">
        <f>+D8*C8*L$6*K8/2000</f>
        <v>0.08786249999999998</v>
      </c>
      <c r="M8" s="108">
        <v>0.15</v>
      </c>
      <c r="N8" s="106">
        <f>+E8/M8</f>
        <v>5.330583728776456</v>
      </c>
      <c r="O8" s="106">
        <f>+N8/8.4</f>
        <v>0.6345933010448161</v>
      </c>
      <c r="P8" s="106"/>
      <c r="Q8" s="106"/>
      <c r="R8" s="106"/>
      <c r="S8" s="106"/>
      <c r="T8" s="106"/>
      <c r="U8" s="106"/>
      <c r="V8" s="106"/>
      <c r="W8" s="106"/>
      <c r="X8" s="106"/>
      <c r="Y8" s="100"/>
      <c r="Z8" s="68"/>
    </row>
    <row r="9" spans="1:25" ht="15" customHeight="1">
      <c r="A9" s="29">
        <v>2</v>
      </c>
      <c r="B9" s="53">
        <f>+'SMAW-SMAW'!B29</f>
        <v>0.75</v>
      </c>
      <c r="C9" s="55">
        <f>+'SMAW-SMAW'!C29</f>
        <v>26.7</v>
      </c>
      <c r="D9" s="53">
        <f>+'SMAW-SMAW'!D29</f>
        <v>1.65</v>
      </c>
      <c r="E9" s="73">
        <f t="shared" si="0"/>
        <v>1.019321545082826</v>
      </c>
      <c r="F9" s="74">
        <f>0.5*(F8+F10)</f>
        <v>18</v>
      </c>
      <c r="G9" s="96">
        <f aca="true" t="shared" si="1" ref="G9:G33">+F9*C9</f>
        <v>480.59999999999997</v>
      </c>
      <c r="H9" s="103">
        <f aca="true" t="shared" si="2" ref="H9:H33">1000/G9</f>
        <v>2.0807324178110695</v>
      </c>
      <c r="I9" s="107">
        <f>0.5*(I8+I10)</f>
        <v>335</v>
      </c>
      <c r="J9" s="118">
        <f aca="true" t="shared" si="3" ref="J9:J33">+I9*G9*E9/1000000</f>
        <v>0.16411178807988006</v>
      </c>
      <c r="K9" s="103">
        <f>0.5*(K8+K10)</f>
        <v>4</v>
      </c>
      <c r="L9" s="109">
        <f aca="true" t="shared" si="4" ref="L9:L33">+D9*C9*L$6*K9/2000</f>
        <v>0.08811</v>
      </c>
      <c r="M9" s="103">
        <f>0.5*(M8+M10)</f>
        <v>0.15599999999999997</v>
      </c>
      <c r="N9" s="107">
        <f aca="true" t="shared" si="5" ref="N9:N33">+E9/M9</f>
        <v>6.5341124684796545</v>
      </c>
      <c r="O9" s="107">
        <f aca="true" t="shared" si="6" ref="O9:O33">+N9/8.4</f>
        <v>0.7778705319618636</v>
      </c>
      <c r="P9" s="107"/>
      <c r="Q9" s="107"/>
      <c r="R9" s="107"/>
      <c r="S9" s="107"/>
      <c r="T9" s="107"/>
      <c r="U9" s="107"/>
      <c r="V9" s="107"/>
      <c r="W9" s="107"/>
      <c r="X9" s="107"/>
      <c r="Y9" s="101"/>
    </row>
    <row r="10" spans="1:25" ht="15" customHeight="1">
      <c r="A10" s="29">
        <v>3</v>
      </c>
      <c r="B10" s="53">
        <f>+'SMAW-SMAW'!B40</f>
        <v>1</v>
      </c>
      <c r="C10" s="55">
        <f>+'SMAW-SMAW'!C40</f>
        <v>33.4</v>
      </c>
      <c r="D10" s="53">
        <f>+'SMAW-SMAW'!D40</f>
        <v>1.65</v>
      </c>
      <c r="E10" s="73">
        <f t="shared" si="0"/>
        <v>1.291954453348492</v>
      </c>
      <c r="F10" s="94">
        <v>16</v>
      </c>
      <c r="G10" s="96">
        <f t="shared" si="1"/>
        <v>534.4</v>
      </c>
      <c r="H10" s="103">
        <f t="shared" si="2"/>
        <v>1.8712574850299402</v>
      </c>
      <c r="I10" s="112">
        <v>240</v>
      </c>
      <c r="J10" s="118">
        <f t="shared" si="3"/>
        <v>0.1657009103686642</v>
      </c>
      <c r="K10" s="121">
        <v>3</v>
      </c>
      <c r="L10" s="109">
        <f t="shared" si="4"/>
        <v>0.08266499999999999</v>
      </c>
      <c r="M10" s="103">
        <f>0.5*(M9+M11)</f>
        <v>0.16199999999999998</v>
      </c>
      <c r="N10" s="107">
        <f t="shared" si="5"/>
        <v>7.975027489805507</v>
      </c>
      <c r="O10" s="107">
        <f t="shared" si="6"/>
        <v>0.9494080345006556</v>
      </c>
      <c r="P10" s="107"/>
      <c r="Q10" s="107"/>
      <c r="R10" s="107"/>
      <c r="S10" s="107"/>
      <c r="T10" s="107"/>
      <c r="U10" s="107"/>
      <c r="V10" s="107"/>
      <c r="W10" s="107"/>
      <c r="X10" s="107"/>
      <c r="Y10" s="101"/>
    </row>
    <row r="11" spans="1:25" ht="15" customHeight="1">
      <c r="A11" s="29">
        <v>4</v>
      </c>
      <c r="B11" s="53">
        <f>+'SMAW-SMAW'!B51</f>
        <v>1.25</v>
      </c>
      <c r="C11" s="55">
        <f>+'SMAW-SMAW'!C51</f>
        <v>42.65</v>
      </c>
      <c r="D11" s="53">
        <f>+'SMAW-SMAW'!D51</f>
        <v>1.65</v>
      </c>
      <c r="E11" s="73">
        <f t="shared" si="0"/>
        <v>1.6683506326704935</v>
      </c>
      <c r="F11" s="74">
        <f>0.5*(F10+F12)</f>
        <v>14.666666666666666</v>
      </c>
      <c r="G11" s="96">
        <f t="shared" si="1"/>
        <v>625.5333333333333</v>
      </c>
      <c r="H11" s="103">
        <f t="shared" si="2"/>
        <v>1.5986358307577535</v>
      </c>
      <c r="I11" s="107">
        <v>190</v>
      </c>
      <c r="J11" s="118">
        <f t="shared" si="3"/>
        <v>0.19828569716039837</v>
      </c>
      <c r="K11" s="103">
        <f>0.5*(K10+K12)</f>
        <v>2.6</v>
      </c>
      <c r="L11" s="109">
        <f t="shared" si="4"/>
        <v>0.09148424999999999</v>
      </c>
      <c r="M11" s="103">
        <f>0.5*(M10+M12)</f>
        <v>0.16799999999999998</v>
      </c>
      <c r="N11" s="107">
        <f t="shared" si="5"/>
        <v>9.930658527800558</v>
      </c>
      <c r="O11" s="107">
        <f t="shared" si="6"/>
        <v>1.1822212533095902</v>
      </c>
      <c r="P11" s="107"/>
      <c r="Q11" s="107"/>
      <c r="R11" s="107"/>
      <c r="S11" s="107"/>
      <c r="T11" s="107"/>
      <c r="U11" s="107"/>
      <c r="V11" s="107"/>
      <c r="W11" s="107"/>
      <c r="X11" s="107"/>
      <c r="Y11" s="75"/>
    </row>
    <row r="12" spans="1:25" ht="15" customHeight="1">
      <c r="A12" s="29">
        <v>5</v>
      </c>
      <c r="B12" s="53">
        <f>+'SMAW-SMAW'!B62</f>
        <v>1.5</v>
      </c>
      <c r="C12" s="55">
        <f>+'SMAW-SMAW'!C62</f>
        <v>48.3</v>
      </c>
      <c r="D12" s="53">
        <f>+'SMAW-SMAW'!D62</f>
        <v>1.65</v>
      </c>
      <c r="E12" s="73">
        <f t="shared" si="0"/>
        <v>1.8982574881482566</v>
      </c>
      <c r="F12" s="74">
        <f aca="true" t="shared" si="7" ref="F12:F32">0.5*(F11+F13)</f>
        <v>13.333333333333332</v>
      </c>
      <c r="G12" s="96">
        <f t="shared" si="1"/>
        <v>643.9999999999999</v>
      </c>
      <c r="H12" s="103">
        <f t="shared" si="2"/>
        <v>1.5527950310559009</v>
      </c>
      <c r="I12" s="107">
        <f>0.5*(I11+I13)</f>
        <v>160</v>
      </c>
      <c r="J12" s="118">
        <f t="shared" si="3"/>
        <v>0.19559645157879632</v>
      </c>
      <c r="K12" s="103">
        <f>0.5*(K11+K13)</f>
        <v>2.2</v>
      </c>
      <c r="L12" s="109">
        <f t="shared" si="4"/>
        <v>0.0876645</v>
      </c>
      <c r="M12" s="103">
        <f>0.5*(M11+M13)</f>
        <v>0.174</v>
      </c>
      <c r="N12" s="107">
        <f t="shared" si="5"/>
        <v>10.909525793955499</v>
      </c>
      <c r="O12" s="107">
        <f t="shared" si="6"/>
        <v>1.2987530707089878</v>
      </c>
      <c r="P12" s="107"/>
      <c r="Q12" s="107"/>
      <c r="R12" s="107"/>
      <c r="S12" s="107"/>
      <c r="T12" s="107"/>
      <c r="U12" s="107"/>
      <c r="V12" s="107"/>
      <c r="W12" s="107"/>
      <c r="X12" s="107"/>
      <c r="Y12" s="75"/>
    </row>
    <row r="13" spans="1:26" ht="15" customHeight="1">
      <c r="A13" s="29">
        <v>6</v>
      </c>
      <c r="B13" s="53">
        <f>+'SMAW-SMAW'!B73</f>
        <v>2</v>
      </c>
      <c r="C13" s="55">
        <f>+'SMAW-SMAW'!C73</f>
        <v>60.3</v>
      </c>
      <c r="D13" s="53">
        <f>+'SMAW-SMAW'!D73</f>
        <v>1.65</v>
      </c>
      <c r="E13" s="73">
        <f t="shared" si="0"/>
        <v>2.386555234295718</v>
      </c>
      <c r="F13" s="94">
        <v>12</v>
      </c>
      <c r="G13" s="96">
        <f t="shared" si="1"/>
        <v>723.5999999999999</v>
      </c>
      <c r="H13" s="103">
        <f t="shared" si="2"/>
        <v>1.3819789939192926</v>
      </c>
      <c r="I13" s="113">
        <v>130</v>
      </c>
      <c r="J13" s="118">
        <f t="shared" si="3"/>
        <v>0.22449847777972956</v>
      </c>
      <c r="K13" s="121">
        <v>1.8</v>
      </c>
      <c r="L13" s="109">
        <f t="shared" si="4"/>
        <v>0.08954549999999999</v>
      </c>
      <c r="M13" s="109">
        <f>0.08+0.1</f>
        <v>0.18</v>
      </c>
      <c r="N13" s="107">
        <f t="shared" si="5"/>
        <v>13.258640190531766</v>
      </c>
      <c r="O13" s="107">
        <f t="shared" si="6"/>
        <v>1.5784095464918768</v>
      </c>
      <c r="P13" s="107"/>
      <c r="Q13" s="107"/>
      <c r="R13" s="107"/>
      <c r="S13" s="107"/>
      <c r="T13" s="107"/>
      <c r="U13" s="107"/>
      <c r="V13" s="107"/>
      <c r="W13" s="107"/>
      <c r="X13" s="107"/>
      <c r="Y13" s="75"/>
      <c r="Z13" s="68"/>
    </row>
    <row r="14" spans="1:25" ht="15" customHeight="1">
      <c r="A14" s="29">
        <v>7</v>
      </c>
      <c r="B14" s="53">
        <f>+'SMAW-SMAW'!B84</f>
        <v>2.5</v>
      </c>
      <c r="C14" s="55">
        <f>+'SMAW-SMAW'!C84</f>
        <v>73</v>
      </c>
      <c r="D14" s="53">
        <f>+'SMAW-SMAW'!D84</f>
        <v>2.11</v>
      </c>
      <c r="E14" s="73">
        <f t="shared" si="0"/>
        <v>3.688815729468201</v>
      </c>
      <c r="F14" s="74">
        <f t="shared" si="7"/>
        <v>11.5</v>
      </c>
      <c r="G14" s="96">
        <f t="shared" si="1"/>
        <v>839.5</v>
      </c>
      <c r="H14" s="103">
        <f t="shared" si="2"/>
        <v>1.1911852293031566</v>
      </c>
      <c r="I14" s="107">
        <f>0.5*(I13+I15)</f>
        <v>102.5</v>
      </c>
      <c r="J14" s="118">
        <f t="shared" si="3"/>
        <v>0.31741798250107683</v>
      </c>
      <c r="K14" s="103">
        <f>0.5*(K13+K15)</f>
        <v>1.625</v>
      </c>
      <c r="L14" s="109">
        <f t="shared" si="4"/>
        <v>0.125149375</v>
      </c>
      <c r="M14" s="109">
        <f>0.12+0.09</f>
        <v>0.21</v>
      </c>
      <c r="N14" s="107">
        <f t="shared" si="5"/>
        <v>17.565789187943814</v>
      </c>
      <c r="O14" s="107">
        <f t="shared" si="6"/>
        <v>2.0911653795171206</v>
      </c>
      <c r="P14" s="107"/>
      <c r="Q14" s="107"/>
      <c r="R14" s="107"/>
      <c r="S14" s="107"/>
      <c r="T14" s="107"/>
      <c r="U14" s="107"/>
      <c r="V14" s="107"/>
      <c r="W14" s="107"/>
      <c r="X14" s="107"/>
      <c r="Y14" s="75"/>
    </row>
    <row r="15" spans="1:25" ht="15" customHeight="1">
      <c r="A15" s="29">
        <v>8</v>
      </c>
      <c r="B15" s="53">
        <f>+'SMAW-SMAW'!B95</f>
        <v>3</v>
      </c>
      <c r="C15" s="55">
        <f>+'SMAW-SMAW'!C95</f>
        <v>88.9</v>
      </c>
      <c r="D15" s="53">
        <f>+'SMAW-SMAW'!D95</f>
        <v>2.11</v>
      </c>
      <c r="E15" s="73">
        <f t="shared" si="0"/>
        <v>4.51618447116018</v>
      </c>
      <c r="F15" s="74">
        <f t="shared" si="7"/>
        <v>11</v>
      </c>
      <c r="G15" s="96">
        <f t="shared" si="1"/>
        <v>977.9000000000001</v>
      </c>
      <c r="H15" s="103">
        <f t="shared" si="2"/>
        <v>1.022599447796298</v>
      </c>
      <c r="I15" s="113">
        <v>75</v>
      </c>
      <c r="J15" s="118">
        <f t="shared" si="3"/>
        <v>0.3312282595760655</v>
      </c>
      <c r="K15" s="103">
        <f>0.5*(K14+K16)</f>
        <v>1.45</v>
      </c>
      <c r="L15" s="109">
        <f t="shared" si="4"/>
        <v>0.135994775</v>
      </c>
      <c r="M15" s="109">
        <f>0.15+0.12</f>
        <v>0.27</v>
      </c>
      <c r="N15" s="107">
        <f t="shared" si="5"/>
        <v>16.72660915244511</v>
      </c>
      <c r="O15" s="107">
        <f t="shared" si="6"/>
        <v>1.9912629943387035</v>
      </c>
      <c r="P15" s="107"/>
      <c r="Q15" s="107"/>
      <c r="R15" s="107"/>
      <c r="S15" s="107"/>
      <c r="T15" s="107"/>
      <c r="U15" s="107"/>
      <c r="V15" s="107"/>
      <c r="W15" s="107"/>
      <c r="X15" s="107"/>
      <c r="Y15" s="75"/>
    </row>
    <row r="16" spans="1:25" ht="15" customHeight="1">
      <c r="A16" s="29">
        <v>9</v>
      </c>
      <c r="B16" s="53">
        <f>+'SMAW-SMAW'!B106</f>
        <v>3.5</v>
      </c>
      <c r="C16" s="55">
        <f>+'SMAW-SMAW'!C106</f>
        <v>101.6</v>
      </c>
      <c r="D16" s="53">
        <f>+'SMAW-SMAW'!D106</f>
        <v>2.11</v>
      </c>
      <c r="E16" s="73">
        <f t="shared" si="0"/>
        <v>5.177038749115408</v>
      </c>
      <c r="F16" s="74">
        <f t="shared" si="7"/>
        <v>10.5</v>
      </c>
      <c r="G16" s="96">
        <f t="shared" si="1"/>
        <v>1066.8</v>
      </c>
      <c r="H16" s="103">
        <f t="shared" si="2"/>
        <v>0.9373828271466067</v>
      </c>
      <c r="I16" s="107">
        <f>0.5*(I15+I17)</f>
        <v>65</v>
      </c>
      <c r="J16" s="118">
        <f t="shared" si="3"/>
        <v>0.3589862209411606</v>
      </c>
      <c r="K16" s="103">
        <f>0.5*(K15+K17)</f>
        <v>1.275</v>
      </c>
      <c r="L16" s="109">
        <f t="shared" si="4"/>
        <v>0.13666469999999997</v>
      </c>
      <c r="M16" s="103">
        <f>0.5*(M15+M17)</f>
        <v>0.32</v>
      </c>
      <c r="N16" s="107">
        <f t="shared" si="5"/>
        <v>16.178246090985652</v>
      </c>
      <c r="O16" s="107">
        <f t="shared" si="6"/>
        <v>1.9259816774982919</v>
      </c>
      <c r="P16" s="107"/>
      <c r="Q16" s="107"/>
      <c r="R16" s="107"/>
      <c r="S16" s="107"/>
      <c r="T16" s="107"/>
      <c r="U16" s="107"/>
      <c r="V16" s="107"/>
      <c r="W16" s="107"/>
      <c r="X16" s="107"/>
      <c r="Y16" s="75"/>
    </row>
    <row r="17" spans="1:26" ht="15" customHeight="1">
      <c r="A17" s="29">
        <v>10</v>
      </c>
      <c r="B17" s="53">
        <f>+'SMAW-SMAW'!B115</f>
        <v>4</v>
      </c>
      <c r="C17" s="55">
        <f>+'SMAW-SMAW'!C115</f>
        <v>114.3</v>
      </c>
      <c r="D17" s="53">
        <f>+'SMAW-SMAW'!D115</f>
        <v>2.11</v>
      </c>
      <c r="E17" s="73">
        <f t="shared" si="0"/>
        <v>5.8378930270706375</v>
      </c>
      <c r="F17" s="94">
        <v>10</v>
      </c>
      <c r="G17" s="96">
        <f t="shared" si="1"/>
        <v>1143</v>
      </c>
      <c r="H17" s="103">
        <f t="shared" si="2"/>
        <v>0.8748906386701663</v>
      </c>
      <c r="I17" s="112">
        <v>55</v>
      </c>
      <c r="J17" s="118">
        <f t="shared" si="3"/>
        <v>0.3669991451467956</v>
      </c>
      <c r="K17" s="121">
        <v>1.1</v>
      </c>
      <c r="L17" s="109">
        <f t="shared" si="4"/>
        <v>0.13264515</v>
      </c>
      <c r="M17" s="109">
        <f>0.21+0.16</f>
        <v>0.37</v>
      </c>
      <c r="N17" s="107">
        <f t="shared" si="5"/>
        <v>15.778089262353074</v>
      </c>
      <c r="O17" s="107">
        <f t="shared" si="6"/>
        <v>1.8783439598039373</v>
      </c>
      <c r="P17" s="107"/>
      <c r="Q17" s="107"/>
      <c r="R17" s="107"/>
      <c r="S17" s="107"/>
      <c r="T17" s="107"/>
      <c r="U17" s="107"/>
      <c r="V17" s="107"/>
      <c r="W17" s="107"/>
      <c r="X17" s="107"/>
      <c r="Y17" s="75"/>
      <c r="Z17" s="68"/>
    </row>
    <row r="18" spans="1:30" ht="15" customHeight="1">
      <c r="A18" s="29">
        <v>11</v>
      </c>
      <c r="B18" s="53">
        <f>+'SMAW-SMAW'!B127</f>
        <v>5</v>
      </c>
      <c r="C18" s="55">
        <f>+'SMAW-SMAW'!C127</f>
        <v>141.3</v>
      </c>
      <c r="D18" s="53">
        <f>+'SMAW-SMAW'!D127</f>
        <v>2.77</v>
      </c>
      <c r="E18" s="73">
        <f t="shared" si="0"/>
        <v>9.46331143249736</v>
      </c>
      <c r="F18" s="74">
        <f t="shared" si="7"/>
        <v>9.666666666666666</v>
      </c>
      <c r="G18" s="96">
        <f t="shared" si="1"/>
        <v>1365.9</v>
      </c>
      <c r="H18" s="103">
        <f t="shared" si="2"/>
        <v>0.7321180174244087</v>
      </c>
      <c r="I18" s="107">
        <f>0.5*(I17+I19)</f>
        <v>50</v>
      </c>
      <c r="J18" s="118">
        <f t="shared" si="3"/>
        <v>0.6462968542824072</v>
      </c>
      <c r="K18" s="103">
        <f>0.5*(K17+K19)</f>
        <v>1.1</v>
      </c>
      <c r="L18" s="109">
        <f t="shared" si="4"/>
        <v>0.21527055</v>
      </c>
      <c r="M18" s="109">
        <f>0.24+0.2</f>
        <v>0.44</v>
      </c>
      <c r="N18" s="107">
        <f t="shared" si="5"/>
        <v>21.507525982948543</v>
      </c>
      <c r="O18" s="107">
        <f t="shared" si="6"/>
        <v>2.5604197598748266</v>
      </c>
      <c r="P18" s="107"/>
      <c r="Q18" s="107"/>
      <c r="R18" s="107"/>
      <c r="S18" s="107"/>
      <c r="T18" s="107"/>
      <c r="U18" s="107"/>
      <c r="V18" s="107"/>
      <c r="W18" s="107"/>
      <c r="X18" s="107"/>
      <c r="Y18" s="104"/>
      <c r="Z18" s="105"/>
      <c r="AA18" s="105"/>
      <c r="AB18" s="105"/>
      <c r="AC18" s="105"/>
      <c r="AD18" s="105"/>
    </row>
    <row r="19" spans="1:25" ht="15" customHeight="1">
      <c r="A19" s="29">
        <v>12</v>
      </c>
      <c r="B19" s="53">
        <f>+'SMAW-SMAW'!B139</f>
        <v>6</v>
      </c>
      <c r="C19" s="55">
        <f>+'SMAW-SMAW'!C139</f>
        <v>168.3</v>
      </c>
      <c r="D19" s="53">
        <f>+'SMAW-SMAW'!D139</f>
        <v>2.77</v>
      </c>
      <c r="E19" s="73">
        <f t="shared" si="0"/>
        <v>11.307745191808909</v>
      </c>
      <c r="F19" s="74">
        <f t="shared" si="7"/>
        <v>9.333333333333332</v>
      </c>
      <c r="G19" s="96">
        <f t="shared" si="1"/>
        <v>1570.8</v>
      </c>
      <c r="H19" s="103">
        <f t="shared" si="2"/>
        <v>0.6366182836771073</v>
      </c>
      <c r="I19" s="107">
        <f>0.5*(I18+I20)</f>
        <v>45</v>
      </c>
      <c r="J19" s="118">
        <f t="shared" si="3"/>
        <v>0.7992992766282045</v>
      </c>
      <c r="K19" s="103">
        <f>0.5*(K18+K20)</f>
        <v>1.1</v>
      </c>
      <c r="L19" s="109">
        <f t="shared" si="4"/>
        <v>0.25640505</v>
      </c>
      <c r="M19" s="109">
        <f>0.33+0.26</f>
        <v>0.5900000000000001</v>
      </c>
      <c r="N19" s="107">
        <f t="shared" si="5"/>
        <v>19.165669816625268</v>
      </c>
      <c r="O19" s="107">
        <f t="shared" si="6"/>
        <v>2.2816273591220555</v>
      </c>
      <c r="P19" s="107"/>
      <c r="Q19" s="107"/>
      <c r="R19" s="107"/>
      <c r="S19" s="107"/>
      <c r="T19" s="107"/>
      <c r="U19" s="107"/>
      <c r="V19" s="107"/>
      <c r="W19" s="107"/>
      <c r="X19" s="107"/>
      <c r="Y19" s="75"/>
    </row>
    <row r="20" spans="1:25" ht="15" customHeight="1">
      <c r="A20" s="29">
        <v>13</v>
      </c>
      <c r="B20" s="53">
        <f>+'SMAW-SMAW'!B151</f>
        <v>8</v>
      </c>
      <c r="C20" s="55">
        <f>+'SMAW-SMAW'!C151</f>
        <v>219.1</v>
      </c>
      <c r="D20" s="53">
        <f>+'SMAW-SMAW'!D151</f>
        <v>2.77</v>
      </c>
      <c r="E20" s="73">
        <f t="shared" si="0"/>
        <v>14.778013153772855</v>
      </c>
      <c r="F20" s="94">
        <v>9</v>
      </c>
      <c r="G20" s="96">
        <f t="shared" si="1"/>
        <v>1971.8999999999999</v>
      </c>
      <c r="H20" s="103">
        <f t="shared" si="2"/>
        <v>0.5071251077640855</v>
      </c>
      <c r="I20" s="113">
        <v>40</v>
      </c>
      <c r="J20" s="118">
        <f t="shared" si="3"/>
        <v>1.1656305655169878</v>
      </c>
      <c r="K20" s="121">
        <v>1.1</v>
      </c>
      <c r="L20" s="109">
        <f t="shared" si="4"/>
        <v>0.3337988500000001</v>
      </c>
      <c r="M20" s="109">
        <f>0.46+0.37</f>
        <v>0.8300000000000001</v>
      </c>
      <c r="N20" s="107">
        <f t="shared" si="5"/>
        <v>17.804835125027534</v>
      </c>
      <c r="O20" s="107">
        <f t="shared" si="6"/>
        <v>2.1196232291699446</v>
      </c>
      <c r="P20" s="107"/>
      <c r="Q20" s="107"/>
      <c r="R20" s="107"/>
      <c r="S20" s="107"/>
      <c r="T20" s="107"/>
      <c r="U20" s="107"/>
      <c r="V20" s="107"/>
      <c r="W20" s="107"/>
      <c r="X20" s="107"/>
      <c r="Y20" s="75"/>
    </row>
    <row r="21" spans="1:25" ht="15" customHeight="1">
      <c r="A21" s="29">
        <v>14</v>
      </c>
      <c r="B21" s="53">
        <f>+'SMAW-SMAW'!B168</f>
        <v>10</v>
      </c>
      <c r="C21" s="55">
        <f>+'SMAW-SMAW'!C168</f>
        <v>273</v>
      </c>
      <c r="D21" s="53">
        <f>+'SMAW-SMAW'!D168</f>
        <v>3.4</v>
      </c>
      <c r="E21" s="73">
        <f t="shared" si="0"/>
        <v>22.605719496394403</v>
      </c>
      <c r="F21" s="74">
        <f t="shared" si="7"/>
        <v>8.75</v>
      </c>
      <c r="G21" s="96">
        <f t="shared" si="1"/>
        <v>2388.75</v>
      </c>
      <c r="H21" s="103">
        <f t="shared" si="2"/>
        <v>0.4186289900575615</v>
      </c>
      <c r="I21" s="107">
        <f>0.5*(I20+I22)</f>
        <v>37.5</v>
      </c>
      <c r="J21" s="118">
        <f t="shared" si="3"/>
        <v>2.024977966762955</v>
      </c>
      <c r="K21" s="103">
        <f>0.5*(K20+K22)</f>
        <v>1.1124999999999998</v>
      </c>
      <c r="L21" s="109">
        <f t="shared" si="4"/>
        <v>0.5163112499999999</v>
      </c>
      <c r="M21" s="109">
        <f>0.64+0.51</f>
        <v>1.15</v>
      </c>
      <c r="N21" s="107">
        <f t="shared" si="5"/>
        <v>19.657147388169047</v>
      </c>
      <c r="O21" s="107">
        <f t="shared" si="6"/>
        <v>2.3401365938296483</v>
      </c>
      <c r="P21" s="107"/>
      <c r="Q21" s="107"/>
      <c r="R21" s="107"/>
      <c r="S21" s="107"/>
      <c r="T21" s="107"/>
      <c r="U21" s="107"/>
      <c r="V21" s="107"/>
      <c r="W21" s="107"/>
      <c r="X21" s="107"/>
      <c r="Y21" s="75"/>
    </row>
    <row r="22" spans="1:26" ht="15" customHeight="1">
      <c r="A22" s="29">
        <v>15</v>
      </c>
      <c r="B22" s="53">
        <f>+'SMAW-SMAW'!B185</f>
        <v>12</v>
      </c>
      <c r="C22" s="55">
        <f>+'SMAW-SMAW'!C185</f>
        <v>323.4</v>
      </c>
      <c r="D22" s="53">
        <f>+'SMAW-SMAW'!D185</f>
        <v>3.96</v>
      </c>
      <c r="E22" s="73">
        <f t="shared" si="0"/>
        <v>31.19636640586902</v>
      </c>
      <c r="F22" s="74">
        <f t="shared" si="7"/>
        <v>8.5</v>
      </c>
      <c r="G22" s="96">
        <f t="shared" si="1"/>
        <v>2748.8999999999996</v>
      </c>
      <c r="H22" s="103">
        <f t="shared" si="2"/>
        <v>0.36378187638691845</v>
      </c>
      <c r="I22" s="107">
        <f>0.5*(I21+I23)</f>
        <v>35</v>
      </c>
      <c r="J22" s="118">
        <f t="shared" si="3"/>
        <v>3.001449206458267</v>
      </c>
      <c r="K22" s="103">
        <f>0.5*(K21+K23)</f>
        <v>1.1249999999999998</v>
      </c>
      <c r="L22" s="109">
        <f t="shared" si="4"/>
        <v>0.7203734999999998</v>
      </c>
      <c r="M22" s="109">
        <f>0.64+0.68</f>
        <v>1.32</v>
      </c>
      <c r="N22" s="107">
        <f t="shared" si="5"/>
        <v>23.633610913537137</v>
      </c>
      <c r="O22" s="107">
        <f t="shared" si="6"/>
        <v>2.813525108754421</v>
      </c>
      <c r="P22" s="107"/>
      <c r="Q22" s="107"/>
      <c r="R22" s="107"/>
      <c r="S22" s="107"/>
      <c r="T22" s="107"/>
      <c r="U22" s="107"/>
      <c r="V22" s="107"/>
      <c r="W22" s="107"/>
      <c r="X22" s="107"/>
      <c r="Y22" s="75"/>
      <c r="Z22" s="68"/>
    </row>
    <row r="23" spans="1:25" ht="15" customHeight="1">
      <c r="A23" s="29">
        <v>16</v>
      </c>
      <c r="B23" s="53">
        <f>+'SMAW-SMAW'!B202</f>
        <v>14</v>
      </c>
      <c r="C23" s="55">
        <f>+'SMAW-SMAW'!C202</f>
        <v>355.59999999999997</v>
      </c>
      <c r="D23" s="53">
        <f>+'SMAW-SMAW'!D202</f>
        <v>3.96</v>
      </c>
      <c r="E23" s="73">
        <f t="shared" si="0"/>
        <v>34.341003891058676</v>
      </c>
      <c r="F23" s="74">
        <f t="shared" si="7"/>
        <v>8.25</v>
      </c>
      <c r="G23" s="96">
        <f t="shared" si="1"/>
        <v>2933.7</v>
      </c>
      <c r="H23" s="103">
        <f t="shared" si="2"/>
        <v>0.34086648259876606</v>
      </c>
      <c r="I23" s="107">
        <f>0.5*(I22+I24)</f>
        <v>32.5</v>
      </c>
      <c r="J23" s="118">
        <f t="shared" si="3"/>
        <v>3.274251601243962</v>
      </c>
      <c r="K23" s="103">
        <f>0.5*(K22+K24)</f>
        <v>1.1374999999999997</v>
      </c>
      <c r="L23" s="109">
        <f t="shared" si="4"/>
        <v>0.8009000999999997</v>
      </c>
      <c r="M23" s="109">
        <f>1.15+0.91</f>
        <v>2.06</v>
      </c>
      <c r="N23" s="107">
        <f t="shared" si="5"/>
        <v>16.670390238377998</v>
      </c>
      <c r="O23" s="107">
        <f t="shared" si="6"/>
        <v>1.9845702664735712</v>
      </c>
      <c r="P23" s="107"/>
      <c r="Q23" s="107"/>
      <c r="R23" s="107"/>
      <c r="S23" s="107"/>
      <c r="T23" s="107"/>
      <c r="U23" s="107"/>
      <c r="V23" s="107"/>
      <c r="W23" s="107"/>
      <c r="X23" s="107"/>
      <c r="Y23" s="75"/>
    </row>
    <row r="24" spans="1:25" ht="15" customHeight="1">
      <c r="A24" s="29">
        <v>17</v>
      </c>
      <c r="B24" s="53">
        <f>+'SMAW-SMAW'!B217</f>
        <v>16</v>
      </c>
      <c r="C24" s="55">
        <f>+'SMAW-SMAW'!C217</f>
        <v>406.4</v>
      </c>
      <c r="D24" s="53">
        <f>+'SMAW-SMAW'!D217</f>
        <v>4.19</v>
      </c>
      <c r="E24" s="73">
        <f t="shared" si="0"/>
        <v>41.561040951651336</v>
      </c>
      <c r="F24" s="94">
        <v>8</v>
      </c>
      <c r="G24" s="96">
        <f t="shared" si="1"/>
        <v>3251.2</v>
      </c>
      <c r="H24" s="103">
        <f t="shared" si="2"/>
        <v>0.3075787401574803</v>
      </c>
      <c r="I24" s="113">
        <v>30</v>
      </c>
      <c r="J24" s="118">
        <f t="shared" si="3"/>
        <v>4.053697690260265</v>
      </c>
      <c r="K24" s="121">
        <v>1.15</v>
      </c>
      <c r="L24" s="109">
        <f t="shared" si="4"/>
        <v>0.9791192</v>
      </c>
      <c r="M24" s="109">
        <f>1.61+1.27</f>
        <v>2.88</v>
      </c>
      <c r="N24" s="107">
        <f t="shared" si="5"/>
        <v>14.430916997101159</v>
      </c>
      <c r="O24" s="107">
        <f t="shared" si="6"/>
        <v>1.7179663091787094</v>
      </c>
      <c r="P24" s="107"/>
      <c r="Q24" s="107"/>
      <c r="R24" s="107"/>
      <c r="S24" s="107"/>
      <c r="T24" s="107"/>
      <c r="U24" s="107"/>
      <c r="V24" s="107"/>
      <c r="W24" s="107"/>
      <c r="X24" s="107"/>
      <c r="Y24" s="75"/>
    </row>
    <row r="25" spans="1:25" ht="15" customHeight="1">
      <c r="A25" s="29">
        <v>18</v>
      </c>
      <c r="B25" s="53">
        <f>+'SMAW-SMAW'!B232</f>
        <v>18</v>
      </c>
      <c r="C25" s="55">
        <f>+'SMAW-SMAW'!C232</f>
        <v>457.2</v>
      </c>
      <c r="D25" s="53">
        <f>+'SMAW-SMAW'!D232</f>
        <v>4.19</v>
      </c>
      <c r="E25" s="73">
        <f t="shared" si="0"/>
        <v>46.81029104574121</v>
      </c>
      <c r="F25" s="74">
        <f t="shared" si="7"/>
        <v>7.777777777777776</v>
      </c>
      <c r="G25" s="96">
        <f t="shared" si="1"/>
        <v>3555.999999999999</v>
      </c>
      <c r="H25" s="103">
        <f t="shared" si="2"/>
        <v>0.28121484814398207</v>
      </c>
      <c r="I25" s="107">
        <f aca="true" t="shared" si="8" ref="I25:I32">0.5*(I24+I26)</f>
        <v>29.55555555555555</v>
      </c>
      <c r="J25" s="118">
        <f t="shared" si="3"/>
        <v>4.919740784333601</v>
      </c>
      <c r="K25" s="103">
        <f aca="true" t="shared" si="9" ref="K25:K32">0.5*(K24+K26)</f>
        <v>1.2166666666666661</v>
      </c>
      <c r="L25" s="109">
        <f t="shared" si="4"/>
        <v>1.1653646999999996</v>
      </c>
      <c r="M25" s="109">
        <f>2.01+1.58</f>
        <v>3.59</v>
      </c>
      <c r="N25" s="107">
        <f t="shared" si="5"/>
        <v>13.039078285721786</v>
      </c>
      <c r="O25" s="107">
        <f t="shared" si="6"/>
        <v>1.5522712244906887</v>
      </c>
      <c r="P25" s="107"/>
      <c r="Q25" s="107"/>
      <c r="R25" s="107"/>
      <c r="S25" s="107"/>
      <c r="T25" s="107"/>
      <c r="U25" s="107"/>
      <c r="V25" s="107"/>
      <c r="W25" s="107"/>
      <c r="X25" s="107"/>
      <c r="Y25" s="75"/>
    </row>
    <row r="26" spans="1:25" ht="15" customHeight="1">
      <c r="A26" s="29">
        <v>19</v>
      </c>
      <c r="B26" s="53">
        <f>+'SMAW-SMAW'!B247</f>
        <v>20</v>
      </c>
      <c r="C26" s="55">
        <f>+'SMAW-SMAW'!C247</f>
        <v>508</v>
      </c>
      <c r="D26" s="53">
        <f>+'SMAW-SMAW'!D247</f>
        <v>4.78</v>
      </c>
      <c r="E26" s="73">
        <f t="shared" si="0"/>
        <v>59.3205705495978</v>
      </c>
      <c r="F26" s="74">
        <f t="shared" si="7"/>
        <v>7.555555555555552</v>
      </c>
      <c r="G26" s="96">
        <f t="shared" si="1"/>
        <v>3838.2222222222204</v>
      </c>
      <c r="H26" s="103">
        <f t="shared" si="2"/>
        <v>0.26053728578045404</v>
      </c>
      <c r="I26" s="107">
        <f t="shared" si="8"/>
        <v>29.1111111111111</v>
      </c>
      <c r="J26" s="118">
        <f t="shared" si="3"/>
        <v>6.628178823890244</v>
      </c>
      <c r="K26" s="103">
        <f t="shared" si="9"/>
        <v>1.2833333333333323</v>
      </c>
      <c r="L26" s="109">
        <f t="shared" si="4"/>
        <v>1.5581206666666656</v>
      </c>
      <c r="M26" s="109">
        <f>2.48+1.95</f>
        <v>4.43</v>
      </c>
      <c r="N26" s="107">
        <f t="shared" si="5"/>
        <v>13.390647979593183</v>
      </c>
      <c r="O26" s="107">
        <f t="shared" si="6"/>
        <v>1.594124759475379</v>
      </c>
      <c r="P26" s="107"/>
      <c r="Q26" s="107"/>
      <c r="R26" s="107"/>
      <c r="S26" s="107"/>
      <c r="T26" s="107"/>
      <c r="U26" s="107"/>
      <c r="V26" s="107"/>
      <c r="W26" s="107"/>
      <c r="X26" s="107"/>
      <c r="Y26" s="75"/>
    </row>
    <row r="27" spans="1:25" ht="15" customHeight="1">
      <c r="A27" s="29">
        <v>20</v>
      </c>
      <c r="B27" s="53">
        <f>+'SMAW-SMAW'!B262</f>
        <v>22</v>
      </c>
      <c r="C27" s="55">
        <f>+'SMAW-SMAW'!C262</f>
        <v>558.8</v>
      </c>
      <c r="D27" s="53">
        <f>+'SMAW-SMAW'!D262</f>
        <v>4.78</v>
      </c>
      <c r="E27" s="73">
        <f t="shared" si="0"/>
        <v>65.3089751915428</v>
      </c>
      <c r="F27" s="74">
        <f t="shared" si="7"/>
        <v>7.333333333333329</v>
      </c>
      <c r="G27" s="96">
        <f t="shared" si="1"/>
        <v>4097.866666666664</v>
      </c>
      <c r="H27" s="103">
        <f t="shared" si="2"/>
        <v>0.2440294136786622</v>
      </c>
      <c r="I27" s="107">
        <f t="shared" si="8"/>
        <v>28.66666666666665</v>
      </c>
      <c r="J27" s="118">
        <f t="shared" si="3"/>
        <v>7.671987544185384</v>
      </c>
      <c r="K27" s="103">
        <f t="shared" si="9"/>
        <v>1.3499999999999988</v>
      </c>
      <c r="L27" s="109">
        <f t="shared" si="4"/>
        <v>1.8029681999999982</v>
      </c>
      <c r="M27" s="103">
        <f>0.5*(M26+M28)</f>
        <v>5.484999999999999</v>
      </c>
      <c r="N27" s="107">
        <f t="shared" si="5"/>
        <v>11.906832304748004</v>
      </c>
      <c r="O27" s="107">
        <f t="shared" si="6"/>
        <v>1.4174800362795243</v>
      </c>
      <c r="P27" s="107"/>
      <c r="Q27" s="107"/>
      <c r="R27" s="107"/>
      <c r="S27" s="107"/>
      <c r="T27" s="107"/>
      <c r="U27" s="107"/>
      <c r="V27" s="107"/>
      <c r="W27" s="107"/>
      <c r="X27" s="107"/>
      <c r="Y27" s="75"/>
    </row>
    <row r="28" spans="1:25" ht="15" customHeight="1">
      <c r="A28" s="29">
        <v>21</v>
      </c>
      <c r="B28" s="53">
        <f>+'SMAW-SMAW'!B277</f>
        <v>24</v>
      </c>
      <c r="C28" s="55">
        <f>+'SMAW-SMAW'!C277</f>
        <v>609.5999999999999</v>
      </c>
      <c r="D28" s="53">
        <f>+'SMAW-SMAW'!D277</f>
        <v>5.54</v>
      </c>
      <c r="E28" s="73">
        <f t="shared" si="0"/>
        <v>82.52953012220249</v>
      </c>
      <c r="F28" s="74">
        <f t="shared" si="7"/>
        <v>7.111111111111106</v>
      </c>
      <c r="G28" s="96">
        <f t="shared" si="1"/>
        <v>4334.93333333333</v>
      </c>
      <c r="H28" s="103">
        <f t="shared" si="2"/>
        <v>0.23068405511811044</v>
      </c>
      <c r="I28" s="107">
        <f t="shared" si="8"/>
        <v>28.222222222222204</v>
      </c>
      <c r="J28" s="118">
        <f t="shared" si="3"/>
        <v>10.096782535801378</v>
      </c>
      <c r="K28" s="103">
        <f t="shared" si="9"/>
        <v>1.4166666666666654</v>
      </c>
      <c r="L28" s="109">
        <f t="shared" si="4"/>
        <v>2.3921719999999977</v>
      </c>
      <c r="M28" s="109">
        <f>3.66+2.88</f>
        <v>6.54</v>
      </c>
      <c r="N28" s="107">
        <f t="shared" si="5"/>
        <v>12.619194208287842</v>
      </c>
      <c r="O28" s="107">
        <f t="shared" si="6"/>
        <v>1.5022850247961717</v>
      </c>
      <c r="P28" s="107"/>
      <c r="Q28" s="107"/>
      <c r="R28" s="107"/>
      <c r="S28" s="107"/>
      <c r="T28" s="107"/>
      <c r="U28" s="107"/>
      <c r="V28" s="107"/>
      <c r="W28" s="107"/>
      <c r="X28" s="107"/>
      <c r="Y28" s="75"/>
    </row>
    <row r="29" spans="1:25" ht="15" customHeight="1">
      <c r="A29" s="29">
        <v>22</v>
      </c>
      <c r="B29" s="53" t="e">
        <f>+'SMAW-SMAW'!#REF!</f>
        <v>#REF!</v>
      </c>
      <c r="C29" s="55" t="e">
        <f>+'SMAW-SMAW'!#REF!</f>
        <v>#REF!</v>
      </c>
      <c r="D29" s="53" t="e">
        <f>+'SMAW-SMAW'!#REF!</f>
        <v>#REF!</v>
      </c>
      <c r="E29" s="73" t="e">
        <f t="shared" si="0"/>
        <v>#REF!</v>
      </c>
      <c r="F29" s="74">
        <f t="shared" si="7"/>
        <v>6.888888888888884</v>
      </c>
      <c r="G29" s="96" t="e">
        <f t="shared" si="1"/>
        <v>#REF!</v>
      </c>
      <c r="H29" s="103" t="e">
        <f t="shared" si="2"/>
        <v>#REF!</v>
      </c>
      <c r="I29" s="107">
        <f t="shared" si="8"/>
        <v>27.777777777777757</v>
      </c>
      <c r="J29" s="118" t="e">
        <f t="shared" si="3"/>
        <v>#REF!</v>
      </c>
      <c r="K29" s="103">
        <f t="shared" si="9"/>
        <v>1.483333333333332</v>
      </c>
      <c r="L29" s="109" t="e">
        <f t="shared" si="4"/>
        <v>#REF!</v>
      </c>
      <c r="M29" s="109">
        <f>6+4.7</f>
        <v>10.7</v>
      </c>
      <c r="N29" s="107" t="e">
        <f t="shared" si="5"/>
        <v>#REF!</v>
      </c>
      <c r="O29" s="107" t="e">
        <f t="shared" si="6"/>
        <v>#REF!</v>
      </c>
      <c r="P29" s="107"/>
      <c r="Q29" s="107"/>
      <c r="R29" s="107"/>
      <c r="S29" s="107"/>
      <c r="T29" s="107"/>
      <c r="U29" s="107"/>
      <c r="V29" s="107"/>
      <c r="W29" s="107"/>
      <c r="X29" s="107"/>
      <c r="Y29" s="75"/>
    </row>
    <row r="30" spans="1:25" ht="15" customHeight="1">
      <c r="A30" s="29">
        <v>23</v>
      </c>
      <c r="B30" s="53" t="e">
        <f>+'SMAW-SMAW'!#REF!</f>
        <v>#REF!</v>
      </c>
      <c r="C30" s="55" t="e">
        <f>+'SMAW-SMAW'!#REF!</f>
        <v>#REF!</v>
      </c>
      <c r="D30" s="53" t="e">
        <f>+'SMAW-SMAW'!#REF!</f>
        <v>#REF!</v>
      </c>
      <c r="E30" s="73" t="e">
        <f t="shared" si="0"/>
        <v>#REF!</v>
      </c>
      <c r="F30" s="74">
        <f t="shared" si="7"/>
        <v>6.6666666666666625</v>
      </c>
      <c r="G30" s="96" t="e">
        <f t="shared" si="1"/>
        <v>#REF!</v>
      </c>
      <c r="H30" s="103" t="e">
        <f t="shared" si="2"/>
        <v>#REF!</v>
      </c>
      <c r="I30" s="107">
        <f t="shared" si="8"/>
        <v>27.333333333333314</v>
      </c>
      <c r="J30" s="118" t="e">
        <f t="shared" si="3"/>
        <v>#REF!</v>
      </c>
      <c r="K30" s="103">
        <f t="shared" si="9"/>
        <v>1.549999999999999</v>
      </c>
      <c r="L30" s="109" t="e">
        <f t="shared" si="4"/>
        <v>#REF!</v>
      </c>
      <c r="M30" s="109">
        <f>6.5+5</f>
        <v>11.5</v>
      </c>
      <c r="N30" s="107" t="e">
        <f t="shared" si="5"/>
        <v>#REF!</v>
      </c>
      <c r="O30" s="107" t="e">
        <f t="shared" si="6"/>
        <v>#REF!</v>
      </c>
      <c r="P30" s="107"/>
      <c r="Q30" s="107"/>
      <c r="R30" s="107"/>
      <c r="S30" s="107"/>
      <c r="T30" s="107"/>
      <c r="U30" s="107"/>
      <c r="V30" s="107"/>
      <c r="W30" s="107"/>
      <c r="X30" s="107"/>
      <c r="Y30" s="75"/>
    </row>
    <row r="31" spans="1:25" ht="15" customHeight="1">
      <c r="A31" s="29">
        <v>24</v>
      </c>
      <c r="B31" s="53">
        <f>+'SMAW-SMAW'!B303</f>
        <v>30</v>
      </c>
      <c r="C31" s="55">
        <f>+'SMAW-SMAW'!C303</f>
        <v>762</v>
      </c>
      <c r="D31" s="53">
        <f>+'SMAW-SMAW'!D303</f>
        <v>6.35</v>
      </c>
      <c r="E31" s="73">
        <f t="shared" si="0"/>
        <v>118.33519789973185</v>
      </c>
      <c r="F31" s="74">
        <f t="shared" si="7"/>
        <v>6.444444444444441</v>
      </c>
      <c r="G31" s="96">
        <f t="shared" si="1"/>
        <v>4910.666666666664</v>
      </c>
      <c r="H31" s="103">
        <f t="shared" si="2"/>
        <v>0.2036383383111595</v>
      </c>
      <c r="I31" s="107">
        <f t="shared" si="8"/>
        <v>26.888888888888875</v>
      </c>
      <c r="J31" s="118">
        <f t="shared" si="3"/>
        <v>15.625260028927453</v>
      </c>
      <c r="K31" s="103">
        <f t="shared" si="9"/>
        <v>1.6166666666666658</v>
      </c>
      <c r="L31" s="109">
        <f t="shared" si="4"/>
        <v>3.9112824999999978</v>
      </c>
      <c r="M31" s="109">
        <f>7+5.5</f>
        <v>12.5</v>
      </c>
      <c r="N31" s="107">
        <f t="shared" si="5"/>
        <v>9.466815831978549</v>
      </c>
      <c r="O31" s="107">
        <f t="shared" si="6"/>
        <v>1.127001884759351</v>
      </c>
      <c r="P31" s="107"/>
      <c r="Q31" s="107"/>
      <c r="R31" s="107"/>
      <c r="S31" s="107"/>
      <c r="T31" s="107"/>
      <c r="U31" s="107"/>
      <c r="V31" s="107"/>
      <c r="W31" s="107"/>
      <c r="X31" s="107"/>
      <c r="Y31" s="75"/>
    </row>
    <row r="32" spans="1:25" ht="15" customHeight="1">
      <c r="A32" s="29">
        <v>25</v>
      </c>
      <c r="B32" s="53" t="e">
        <f>+'SMAW-SMAW'!#REF!</f>
        <v>#REF!</v>
      </c>
      <c r="C32" s="55" t="e">
        <f>+'SMAW-SMAW'!#REF!</f>
        <v>#REF!</v>
      </c>
      <c r="D32" s="53" t="e">
        <f>+'SMAW-SMAW'!#REF!</f>
        <v>#REF!</v>
      </c>
      <c r="E32" s="73" t="e">
        <f t="shared" si="0"/>
        <v>#REF!</v>
      </c>
      <c r="F32" s="74">
        <f t="shared" si="7"/>
        <v>6.2222222222222205</v>
      </c>
      <c r="G32" s="96" t="e">
        <f t="shared" si="1"/>
        <v>#REF!</v>
      </c>
      <c r="H32" s="103" t="e">
        <f t="shared" si="2"/>
        <v>#REF!</v>
      </c>
      <c r="I32" s="107">
        <f t="shared" si="8"/>
        <v>26.444444444444436</v>
      </c>
      <c r="J32" s="118" t="e">
        <f t="shared" si="3"/>
        <v>#REF!</v>
      </c>
      <c r="K32" s="103">
        <f t="shared" si="9"/>
        <v>1.683333333333333</v>
      </c>
      <c r="L32" s="109" t="e">
        <f t="shared" si="4"/>
        <v>#REF!</v>
      </c>
      <c r="M32" s="109">
        <f>7.2+5.8</f>
        <v>13</v>
      </c>
      <c r="N32" s="107" t="e">
        <f t="shared" si="5"/>
        <v>#REF!</v>
      </c>
      <c r="O32" s="107" t="e">
        <f t="shared" si="6"/>
        <v>#REF!</v>
      </c>
      <c r="P32" s="107"/>
      <c r="Q32" s="107"/>
      <c r="R32" s="107"/>
      <c r="S32" s="107"/>
      <c r="T32" s="107"/>
      <c r="U32" s="107"/>
      <c r="V32" s="107"/>
      <c r="W32" s="107"/>
      <c r="X32" s="107"/>
      <c r="Y32" s="75"/>
    </row>
    <row r="33" spans="1:26" ht="15" customHeight="1">
      <c r="A33" s="77">
        <v>26</v>
      </c>
      <c r="B33" s="78" t="e">
        <f>+'SMAW-SMAW'!#REF!</f>
        <v>#REF!</v>
      </c>
      <c r="C33" s="79" t="e">
        <f>+'SMAW-SMAW'!#REF!</f>
        <v>#REF!</v>
      </c>
      <c r="D33" s="78" t="e">
        <f>+'SMAW-SMAW'!#REF!</f>
        <v>#REF!</v>
      </c>
      <c r="E33" s="80" t="e">
        <f t="shared" si="0"/>
        <v>#REF!</v>
      </c>
      <c r="F33" s="99">
        <v>6</v>
      </c>
      <c r="G33" s="97" t="e">
        <f t="shared" si="1"/>
        <v>#REF!</v>
      </c>
      <c r="H33" s="110" t="e">
        <f t="shared" si="2"/>
        <v>#REF!</v>
      </c>
      <c r="I33" s="115">
        <v>26</v>
      </c>
      <c r="J33" s="119" t="e">
        <f t="shared" si="3"/>
        <v>#REF!</v>
      </c>
      <c r="K33" s="122">
        <v>1.75</v>
      </c>
      <c r="L33" s="116" t="e">
        <f t="shared" si="4"/>
        <v>#REF!</v>
      </c>
      <c r="M33" s="116">
        <f>8.5+6.5</f>
        <v>15</v>
      </c>
      <c r="N33" s="111" t="e">
        <f t="shared" si="5"/>
        <v>#REF!</v>
      </c>
      <c r="O33" s="111" t="e">
        <f t="shared" si="6"/>
        <v>#REF!</v>
      </c>
      <c r="P33" s="111"/>
      <c r="Q33" s="111"/>
      <c r="R33" s="111"/>
      <c r="S33" s="111"/>
      <c r="T33" s="111"/>
      <c r="U33" s="111"/>
      <c r="V33" s="111"/>
      <c r="W33" s="111"/>
      <c r="X33" s="111"/>
      <c r="Y33" s="76"/>
      <c r="Z33" s="68"/>
    </row>
    <row r="35" spans="1:2" ht="12.75">
      <c r="A35" s="52" t="s">
        <v>52</v>
      </c>
      <c r="B35" t="s">
        <v>54</v>
      </c>
    </row>
    <row r="36" ht="12.75">
      <c r="B36" t="s">
        <v>53</v>
      </c>
    </row>
  </sheetData>
  <sheetProtection/>
  <printOptions horizontalCentered="1"/>
  <pageMargins left="0.25" right="0.25" top="0.5" bottom="0.25" header="0.25" footer="0.25"/>
  <pageSetup fitToHeight="1" fitToWidth="1" horizontalDpi="300" verticalDpi="3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16:F16"/>
  <sheetViews>
    <sheetView zoomScalePageLayoutView="0" workbookViewId="0" topLeftCell="A1">
      <selection activeCell="F16" sqref="F16"/>
    </sheetView>
  </sheetViews>
  <sheetFormatPr defaultColWidth="9.140625" defaultRowHeight="12.75"/>
  <sheetData>
    <row r="16" ht="12.75">
      <c r="F1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DESCON ENGINEERING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NAEEM A. JANJUA</dc:creator>
  <cp:keywords/>
  <dc:description/>
  <cp:lastModifiedBy>Alcindo Jardim Jr</cp:lastModifiedBy>
  <cp:lastPrinted>2002-10-08T07:42:51Z</cp:lastPrinted>
  <dcterms:created xsi:type="dcterms:W3CDTF">1999-03-22T19:40:47Z</dcterms:created>
  <dcterms:modified xsi:type="dcterms:W3CDTF">2021-07-21T22:54:12Z</dcterms:modified>
  <cp:category/>
  <cp:version/>
  <cp:contentType/>
  <cp:contentStatus/>
</cp:coreProperties>
</file>